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O:\QM\CMRT ROHS REACH PIP POP\aktuelle Zertifikate\CMRT 6.4\"/>
    </mc:Choice>
  </mc:AlternateContent>
  <xr:revisionPtr revIDLastSave="0" documentId="13_ncr:1_{3343105B-7C05-491E-B8D1-7A7B51D3A09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5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V7" i="5"/>
  <c r="J7" i="5"/>
  <c r="E7" i="5"/>
  <c r="X7" i="5" s="1"/>
  <c r="V8" i="5"/>
  <c r="J8" i="5"/>
  <c r="E8" i="5"/>
  <c r="X8" i="5" s="1"/>
  <c r="V9" i="5"/>
  <c r="J9" i="5" s="1"/>
  <c r="E9" i="5"/>
  <c r="X9" i="5" s="1"/>
  <c r="V10" i="5"/>
  <c r="J10" i="5"/>
  <c r="E10" i="5"/>
  <c r="X10" i="5" s="1"/>
  <c r="V11" i="5"/>
  <c r="J11" i="5"/>
  <c r="E11" i="5"/>
  <c r="V12" i="5"/>
  <c r="J12" i="5"/>
  <c r="E12" i="5"/>
  <c r="X12" i="5" s="1"/>
  <c r="V13" i="5"/>
  <c r="J13" i="5"/>
  <c r="E13" i="5"/>
  <c r="X13" i="5" s="1"/>
  <c r="V14" i="5"/>
  <c r="J14" i="5"/>
  <c r="E14" i="5"/>
  <c r="V15" i="5"/>
  <c r="J15" i="5"/>
  <c r="E15" i="5"/>
  <c r="X15" i="5" s="1"/>
  <c r="V16" i="5"/>
  <c r="J16" i="5"/>
  <c r="E16" i="5"/>
  <c r="X16" i="5" s="1"/>
  <c r="V17" i="5"/>
  <c r="J17" i="5"/>
  <c r="E17" i="5"/>
  <c r="X17" i="5" s="1"/>
  <c r="V18" i="5"/>
  <c r="J18" i="5" s="1"/>
  <c r="V19" i="5"/>
  <c r="J19" i="5"/>
  <c r="E19" i="5"/>
  <c r="V20" i="5"/>
  <c r="J20" i="5"/>
  <c r="E20" i="5"/>
  <c r="X20" i="5" s="1"/>
  <c r="V21" i="5"/>
  <c r="J21" i="5"/>
  <c r="E21" i="5"/>
  <c r="X21" i="5" s="1"/>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 i="5"/>
  <c r="E22" i="5" s="1"/>
  <c r="V23" i="5"/>
  <c r="E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F20"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226" i="5"/>
  <c r="S598" i="5"/>
  <c r="X326" i="5"/>
  <c r="X498" i="5"/>
  <c r="X482" i="5"/>
  <c r="S532" i="5"/>
  <c r="S356" i="5"/>
  <c r="X214" i="5"/>
  <c r="X70" i="5"/>
  <c r="S343" i="5"/>
  <c r="X158" i="5"/>
  <c r="X78" i="5"/>
  <c r="X282" i="5"/>
  <c r="X182" i="5"/>
  <c r="X202" i="5"/>
  <c r="S315" i="5"/>
  <c r="S357" i="5"/>
  <c r="X130" i="5"/>
  <c r="S383" i="5"/>
  <c r="X250" i="5"/>
  <c r="X242"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462" i="5"/>
  <c r="S611" i="5"/>
  <c r="X538" i="5"/>
  <c r="S601" i="5"/>
  <c r="X522" i="5"/>
  <c r="X454" i="5"/>
  <c r="X406" i="5"/>
  <c r="X565" i="5"/>
  <c r="S600" i="5"/>
  <c r="S382" i="5"/>
  <c r="X305" i="5"/>
  <c r="X334" i="5"/>
  <c r="S533" i="5"/>
  <c r="S355" i="5"/>
  <c r="S602" i="5"/>
  <c r="X262" i="5"/>
  <c r="S603" i="5"/>
  <c r="X394" i="5"/>
  <c r="S605" i="5"/>
  <c r="X102" i="5"/>
  <c r="X418" i="5"/>
  <c r="S607" i="5"/>
  <c r="X314" i="5"/>
  <c r="S314" i="5"/>
  <c r="X474" i="5"/>
  <c r="X593"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F16" i="5"/>
  <c r="I10" i="5"/>
  <c r="F10" i="5"/>
  <c r="R10" i="5"/>
  <c r="H10" i="5"/>
  <c r="H13" i="5"/>
  <c r="R13" i="5"/>
  <c r="I13" i="5"/>
  <c r="F13" i="5"/>
  <c r="H7" i="5"/>
  <c r="R7" i="5"/>
  <c r="F7" i="5"/>
  <c r="I7" i="5"/>
  <c r="H17" i="5"/>
  <c r="I17" i="5"/>
  <c r="R17" i="5"/>
  <c r="F17" i="5"/>
  <c r="I12" i="5"/>
  <c r="R12" i="5"/>
  <c r="F12" i="5"/>
  <c r="H12" i="5"/>
  <c r="H9" i="5"/>
  <c r="I9" i="5"/>
  <c r="R9" i="5"/>
  <c r="F9" i="5"/>
  <c r="R8" i="5"/>
  <c r="H8" i="5"/>
  <c r="I8" i="5"/>
  <c r="F8" i="5"/>
  <c r="H15" i="5"/>
  <c r="I15" i="5"/>
  <c r="F15" i="5"/>
  <c r="R15" i="5"/>
  <c r="H11" i="5"/>
  <c r="R11" i="5"/>
  <c r="F11" i="5"/>
  <c r="I11" i="5"/>
  <c r="I14" i="5"/>
  <c r="R14" i="5"/>
  <c r="H14" i="5"/>
  <c r="F14" i="5"/>
  <c r="D60" i="6"/>
  <c r="D58" i="6"/>
  <c r="D63" i="6"/>
  <c r="D62" i="6"/>
  <c r="D54" i="6"/>
  <c r="D57" i="6"/>
  <c r="F56" i="6"/>
  <c r="H56" i="6"/>
  <c r="H55" i="6"/>
  <c r="D59" i="6"/>
  <c r="X14" i="5"/>
  <c r="X11" i="5"/>
  <c r="D55" i="6"/>
  <c r="D56" i="6"/>
  <c r="S19" i="5"/>
  <c r="S9" i="5"/>
  <c r="S6" i="5"/>
  <c r="S12" i="5"/>
  <c r="S11" i="5"/>
  <c r="S8" i="5"/>
  <c r="S16" i="5"/>
  <c r="S15" i="5"/>
  <c r="S17" i="5"/>
  <c r="S7" i="5"/>
  <c r="G64" i="6" a="1"/>
  <c r="S10" i="5"/>
  <c r="S14" i="5"/>
  <c r="S13" i="5"/>
  <c r="S21" i="5"/>
  <c r="S20" i="5"/>
  <c r="R23" i="5" l="1"/>
  <c r="I23" i="5"/>
  <c r="J23" i="5"/>
  <c r="G23" i="5"/>
  <c r="E18" i="5"/>
  <c r="A26" i="6"/>
  <c r="B58" i="4"/>
  <c r="A41" i="6" s="1"/>
  <c r="B64" i="4"/>
  <c r="A46" i="6" s="1"/>
  <c r="B52" i="4"/>
  <c r="A36" i="6" s="1"/>
  <c r="X23" i="5"/>
  <c r="B71" i="4"/>
  <c r="A52" i="6" s="1"/>
  <c r="A27" i="6"/>
  <c r="B34" i="4"/>
  <c r="A21" i="6" s="1"/>
  <c r="G65" i="6"/>
  <c r="H65" i="6" s="1"/>
  <c r="D65" i="6" s="1"/>
  <c r="B62" i="4"/>
  <c r="A44" i="6" s="1"/>
  <c r="G67" i="4"/>
  <c r="B33" i="4"/>
  <c r="A20" i="6" s="1"/>
  <c r="A14" i="6"/>
  <c r="G74" i="4"/>
  <c r="A24" i="6"/>
  <c r="B35" i="4"/>
  <c r="A22" i="6" s="1"/>
  <c r="D67" i="4"/>
  <c r="B68" i="4"/>
  <c r="A49" i="6" s="1"/>
  <c r="B56" i="4"/>
  <c r="A39" i="6" s="1"/>
  <c r="A25" i="6"/>
  <c r="B63" i="4"/>
  <c r="A45" i="6" s="1"/>
  <c r="G66" i="6"/>
  <c r="H66" i="6" s="1"/>
  <c r="C66" i="6" s="1"/>
  <c r="E5" i="5"/>
  <c r="G68" i="6"/>
  <c r="H68" i="6" s="1"/>
  <c r="C68" i="6" s="1"/>
  <c r="G37" i="4"/>
  <c r="G67" i="6"/>
  <c r="H67" i="6" s="1"/>
  <c r="G31" i="4"/>
  <c r="G61" i="4"/>
  <c r="G43" i="4"/>
  <c r="G55" i="4"/>
  <c r="X22" i="5"/>
  <c r="B59" i="4"/>
  <c r="A42" i="6" s="1"/>
  <c r="B69" i="4"/>
  <c r="A50" i="6" s="1"/>
  <c r="B51" i="4"/>
  <c r="A35" i="6" s="1"/>
  <c r="H22" i="5"/>
  <c r="R22" i="5"/>
  <c r="I22" i="5"/>
  <c r="G22" i="5"/>
  <c r="B57" i="4"/>
  <c r="A40" i="6" s="1"/>
  <c r="B65" i="4"/>
  <c r="A47" i="6" s="1"/>
  <c r="J22" i="5"/>
  <c r="F22" i="5"/>
  <c r="G64" i="6"/>
  <c r="D43" i="4"/>
  <c r="D49" i="4"/>
  <c r="D31" i="4"/>
  <c r="D55" i="4"/>
  <c r="D74" i="4"/>
  <c r="D37" i="4"/>
  <c r="G69" i="6" a="1"/>
  <c r="G69" i="6" s="1"/>
  <c r="H69" i="6" s="1"/>
  <c r="X19" i="5"/>
  <c r="S18" i="5"/>
  <c r="S23" i="5"/>
  <c r="T18" i="5"/>
  <c r="T10" i="5"/>
  <c r="S5" i="5"/>
  <c r="T16" i="5"/>
  <c r="T17" i="5"/>
  <c r="T19" i="5"/>
  <c r="S22" i="5"/>
  <c r="T13" i="5"/>
  <c r="T6" i="5"/>
  <c r="T12" i="5"/>
  <c r="T20" i="5"/>
  <c r="T21" i="5"/>
  <c r="T14" i="5"/>
  <c r="T11" i="5"/>
  <c r="T9" i="5"/>
  <c r="T8" i="5"/>
  <c r="T7" i="5"/>
  <c r="T15" i="5"/>
  <c r="X18" i="5" l="1"/>
  <c r="C65" i="6"/>
  <c r="D66" i="6"/>
  <c r="X5" i="5"/>
  <c r="D68" i="6"/>
  <c r="C67" i="6"/>
  <c r="D67" i="6"/>
  <c r="H64" i="6"/>
  <c r="B64" i="6"/>
  <c r="T23" i="5"/>
  <c r="T22" i="5"/>
  <c r="T5" i="5"/>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<sst xmlns="http://schemas.openxmlformats.org/spreadsheetml/2006/main" count="22533" uniqueCount="15864">
  <si>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</si>
  <si>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</si>
  <si>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</si>
  <si>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</si>
  <si>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</si>
  <si>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</si>
  <si>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</si>
  <si>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</si>
  <si>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</si>
  <si>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</si>
  <si>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</si>
  <si>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</si>
  <si>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</si>
  <si>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</si>
  <si>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</si>
  <si>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</si>
  <si>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</si>
  <si>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</si>
  <si>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</si>
  <si>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</si>
  <si>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</si>
  <si>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</si>
  <si>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</si>
  <si>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</si>
  <si>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</si>
  <si>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</si>
  <si>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</si>
  <si>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</si>
  <si>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</si>
  <si>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</si>
  <si>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</si>
  <si>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</si>
  <si>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</si>
  <si>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</si>
  <si>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</si>
  <si>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</si>
  <si>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</si>
  <si>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</si>
  <si>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</si>
  <si>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</si>
  <si>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</si>
  <si>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</si>
  <si>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</si>
  <si>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</si>
  <si>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</si>
  <si>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</si>
  <si>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</si>
  <si>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</si>
  <si>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</si>
  <si>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</si>
  <si>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</si>
  <si>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</si>
  <si>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</si>
  <si>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</si>
  <si>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</si>
  <si>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</si>
  <si>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</si>
  <si>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</si>
  <si>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</si>
  <si>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</si>
  <si>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</si>
  <si>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</si>
  <si>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</si>
  <si>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</si>
  <si>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</si>
  <si>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</si>
  <si>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</si>
  <si>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</si>
  <si>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</si>
  <si>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</si>
  <si>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</si>
  <si>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</si>
  <si>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</si>
  <si>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</si>
  <si>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</si>
  <si>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</si>
  <si>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</si>
  <si>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</si>
  <si>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</si>
  <si>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</si>
  <si>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</si>
  <si>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</si>
  <si>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</si>
  <si>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</si>
  <si>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</si>
  <si>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</si>
  <si>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</si>
  <si>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</si>
  <si>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</si>
  <si>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</si>
  <si>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</si>
  <si>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</si>
  <si>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</si>
  <si>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</si>
  <si>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</si>
  <si>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</si>
  <si>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</si>
  <si>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</si>
  <si>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</si>
  <si>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</si>
  <si>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</si>
  <si>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</si>
  <si>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</si>
  <si>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</si>
  <si>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</si>
  <si>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</si>
  <si>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</si>
  <si>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</si>
  <si>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</si>
  <si>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</si>
  <si>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</si>
  <si>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</si>
  <si>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</si>
  <si>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</si>
  <si>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</si>
  <si>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</si>
  <si>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</si>
  <si>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</si>
  <si>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</si>
  <si>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</si>
  <si>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</si>
  <si>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</si>
  <si>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</si>
  <si>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</si>
  <si>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</si>
  <si>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</si>
  <si>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</si>
  <si>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</si>
  <si>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</si>
  <si>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</si>
  <si>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</si>
  <si>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</si>
  <si>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</si>
  <si>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</si>
  <si>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</si>
  <si>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</si>
  <si>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</si>
  <si>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</si>
  <si>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</si>
  <si>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</si>
  <si>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</si>
  <si>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</si>
  <si>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</si>
  <si>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</si>
  <si>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</si>
  <si>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</si>
  <si>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</si>
  <si>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</si>
  <si>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</si>
  <si>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</si>
  <si>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</si>
  <si>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</si>
  <si>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</si>
  <si>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</si>
  <si>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</si>
  <si>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</si>
  <si>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</si>
  <si>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</si>
  <si>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</si>
  <si>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</si>
  <si>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</si>
  <si>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</si>
  <si>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</si>
  <si>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</si>
  <si>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</si>
  <si>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</si>
  <si>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</si>
  <si>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</si>
  <si>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</si>
  <si>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</si>
  <si>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</si>
  <si>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</si>
  <si>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</si>
  <si>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</si>
  <si>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</si>
  <si>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</si>
  <si>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</si>
  <si>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</si>
  <si>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</si>
  <si>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</si>
  <si>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</si>
  <si>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</si>
  <si>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</si>
  <si>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</si>
  <si>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</si>
  <si>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</si>
  <si>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</si>
  <si>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</si>
  <si>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</si>
  <si>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</si>
  <si>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</si>
  <si>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</si>
  <si>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</si>
  <si>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</si>
  <si>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</si>
  <si>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</si>
  <si>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</si>
  <si>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</si>
  <si>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</si>
  <si>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</si>
  <si>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</si>
  <si>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</si>
  <si>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</si>
  <si>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</si>
  <si>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</si>
  <si>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</si>
  <si>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</si>
  <si>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</si>
  <si>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</si>
  <si>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</si>
  <si>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</si>
  <si>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</si>
  <si>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</si>
  <si>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</si>
  <si>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</si>
  <si>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</si>
  <si>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</si>
  <si>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</si>
  <si>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</si>
  <si>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</si>
  <si>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</si>
  <si>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</si>
  <si>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</si>
  <si>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</si>
  <si>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</si>
  <si>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</si>
  <si>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</si>
  <si>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</si>
  <si>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</si>
  <si>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</si>
  <si>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</si>
  <si>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</si>
  <si>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</si>
  <si>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</si>
  <si>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</si>
  <si>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</si>
  <si>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</si>
  <si>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</si>
  <si>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</si>
  <si>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</si>
  <si>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</si>
  <si>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</si>
  <si>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</si>
  <si>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</si>
  <si>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</si>
  <si>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</si>
  <si>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</si>
  <si>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</si>
  <si>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</si>
  <si>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</si>
  <si>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</si>
  <si>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</si>
  <si>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</si>
  <si>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</si>
  <si>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</si>
  <si>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</si>
  <si>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</si>
  <si>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</si>
  <si>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</si>
  <si>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</si>
  <si>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</si>
  <si>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</si>
  <si>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</si>
  <si>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</si>
  <si>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</si>
  <si>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</si>
  <si>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</si>
  <si>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</si>
  <si>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</si>
  <si>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</si>
  <si>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</si>
  <si>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</si>
  <si>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</si>
  <si>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</si>
  <si>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</si>
  <si>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</si>
  <si>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</si>
  <si>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</si>
  <si>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</si>
  <si>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</si>
  <si>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</si>
  <si>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</si>
  <si>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</si>
  <si>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</si>
  <si>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</si>
  <si>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</si>
  <si>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</si>
  <si>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</si>
  <si>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</si>
  <si>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</si>
  <si>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</si>
  <si>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</si>
  <si>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</si>
  <si>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</si>
  <si>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</si>
  <si>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</si>
  <si>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</si>
  <si>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</si>
  <si>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</si>
  <si>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</si>
  <si>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</si>
  <si>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</si>
  <si>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</si>
  <si>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</si>
  <si>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</si>
  <si>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</si>
  <si>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</si>
  <si>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</si>
  <si>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</si>
  <si>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</si>
  <si>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</si>
  <si>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</si>
  <si>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</si>
  <si>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</si>
  <si>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</si>
  <si>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</si>
  <si>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</si>
  <si>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</si>
  <si>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</si>
  <si>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</si>
  <si>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</si>
  <si>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</si>
  <si>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</si>
  <si>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</si>
  <si>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</si>
  <si>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</si>
  <si>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</si>
  <si>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</si>
  <si>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</si>
  <si>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</si>
  <si>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</si>
  <si>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</si>
  <si>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</si>
  <si>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</si>
  <si>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</si>
  <si>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</si>
  <si>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</si>
  <si>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</si>
  <si>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</si>
  <si>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</si>
  <si>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</si>
  <si>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</si>
  <si>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</si>
  <si>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</si>
  <si>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</si>
  <si>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</si>
  <si>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</si>
  <si>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</si>
  <si>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</si>
  <si>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</si>
  <si>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</si>
  <si>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</si>
  <si>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</si>
  <si>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</si>
  <si>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</si>
  <si>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</si>
  <si>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</si>
  <si>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</si>
  <si>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</si>
  <si>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</si>
  <si>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</si>
  <si>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</si>
  <si>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</si>
  <si>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</si>
  <si>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</si>
  <si>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</si>
  <si>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</si>
  <si>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</si>
  <si>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</si>
  <si>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</si>
  <si>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</si>
  <si>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</si>
  <si>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</si>
  <si>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</si>
  <si>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</si>
  <si>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</si>
  <si>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</si>
  <si>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</si>
  <si>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</si>
  <si>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</si>
  <si>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</si>
  <si>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</si>
  <si>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</si>
  <si>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</si>
  <si>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</si>
  <si>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</si>
  <si>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</si>
  <si>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</si>
  <si>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</si>
  <si>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</si>
  <si>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</si>
  <si>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</si>
  <si>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</si>
  <si>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</si>
  <si>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</si>
  <si>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</si>
  <si>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</si>
  <si>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</si>
  <si>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</si>
  <si>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</si>
  <si>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</si>
  <si>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</si>
  <si>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</si>
  <si>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</si>
  <si>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</si>
  <si>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</si>
  <si>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</si>
  <si>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</si>
  <si>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</si>
  <si>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</si>
  <si>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</si>
  <si>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</si>
  <si>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</si>
  <si>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</si>
  <si>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</si>
  <si>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</si>
  <si>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</si>
  <si>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</si>
  <si>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</si>
  <si>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</si>
  <si>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</si>
  <si>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</si>
  <si>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</si>
  <si>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</si>
  <si>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</si>
  <si>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</si>
  <si>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</si>
  <si>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</si>
  <si>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</si>
  <si>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</si>
  <si>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</si>
  <si>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</si>
  <si>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</si>
  <si>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</si>
  <si>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</si>
  <si>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</si>
  <si>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</si>
  <si>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</si>
  <si>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</si>
  <si>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</si>
  <si>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</si>
  <si>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</si>
  <si>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</si>
  <si>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</si>
  <si>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</si>
  <si>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</si>
  <si>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</si>
  <si>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</si>
  <si>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</si>
  <si>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</si>
  <si>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</si>
  <si>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</si>
  <si>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</si>
  <si>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</si>
  <si>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</si>
  <si>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</si>
  <si>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</si>
  <si>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</si>
  <si>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</si>
  <si>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</si>
  <si>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</si>
  <si>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</si>
  <si>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</si>
  <si>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</si>
  <si>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</si>
  <si>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</si>
  <si>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</si>
  <si>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</si>
  <si>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</si>
  <si>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</si>
  <si>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</si>
  <si>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</si>
  <si>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</si>
  <si>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</si>
  <si>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</si>
  <si>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</si>
  <si>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</si>
  <si>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</si>
  <si>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</si>
  <si>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</si>
  <si>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</si>
  <si>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</si>
  <si>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</si>
  <si>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</si>
  <si>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</si>
  <si>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</si>
  <si>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</si>
  <si>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</si>
  <si>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</si>
  <si>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</si>
  <si>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</si>
  <si>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</si>
  <si>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</si>
  <si>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</si>
  <si>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</si>
  <si>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</si>
  <si>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</si>
  <si>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</si>
  <si>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</si>
  <si>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</si>
  <si>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</si>
  <si>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</si>
  <si>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</si>
  <si>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</si>
  <si>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</si>
  <si>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</si>
  <si>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</si>
  <si>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</si>
  <si>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</si>
  <si>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</si>
  <si>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</si>
  <si>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</si>
  <si>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</si>
  <si>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</si>
  <si>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</si>
  <si>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</si>
  <si>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</si>
  <si>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</si>
  <si>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</si>
  <si>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</si>
  <si>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</si>
  <si>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</si>
  <si>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</si>
  <si>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</si>
  <si>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</si>
  <si>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</si>
  <si>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</si>
  <si>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</si>
  <si>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</si>
  <si>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</si>
  <si>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</si>
  <si>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</si>
  <si>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</si>
  <si>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</si>
  <si>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</si>
  <si>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</si>
  <si>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</si>
  <si>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</si>
  <si>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</si>
  <si>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</si>
  <si>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</si>
  <si>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</si>
  <si>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</si>
  <si>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</si>
  <si>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</si>
  <si>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</si>
  <si>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</si>
  <si>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</si>
  <si>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</si>
  <si>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</si>
  <si>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</si>
  <si>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</si>
  <si>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</si>
  <si>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</si>
  <si>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</si>
  <si>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</si>
  <si>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</si>
  <si>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</si>
  <si>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</si>
  <si>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</si>
  <si>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</si>
  <si>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</si>
  <si>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</si>
  <si>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</si>
  <si>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</si>
  <si>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</si>
  <si>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</si>
  <si>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</si>
  <si>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</si>
  <si>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</si>
  <si>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</si>
  <si>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</si>
  <si>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</si>
  <si>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</si>
  <si>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</si>
  <si>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</si>
  <si>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</si>
  <si>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</si>
  <si>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</si>
  <si>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</si>
  <si>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</si>
  <si>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</si>
  <si>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</si>
  <si>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</si>
  <si>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</si>
  <si>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</si>
  <si>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</si>
  <si>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</si>
  <si>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</si>
  <si>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</si>
  <si>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</si>
  <si>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</si>
  <si>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</si>
  <si>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</si>
  <si>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</si>
  <si>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</si>
  <si>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</si>
  <si>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</si>
  <si>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</si>
  <si>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</si>
  <si>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</si>
  <si>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</si>
  <si>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</si>
  <si>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</si>
  <si>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</si>
  <si>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</si>
  <si>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</si>
  <si>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</si>
  <si>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</si>
  <si>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</si>
  <si>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</si>
  <si>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</si>
  <si>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</si>
  <si>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</si>
  <si>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</si>
  <si>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</si>
  <si>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</si>
  <si>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</si>
  <si>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</si>
  <si>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</si>
  <si>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</si>
  <si>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</si>
  <si>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</si>
  <si>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</si>
  <si>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</si>
  <si>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</si>
  <si>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</si>
  <si>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</si>
  <si>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</si>
  <si>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</si>
  <si>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</si>
  <si>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</si>
  <si>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</si>
  <si>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</si>
  <si>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</si>
  <si>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</si>
  <si>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</si>
  <si>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</si>
  <si>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</si>
  <si>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</si>
  <si>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</si>
  <si>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</si>
  <si>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</si>
  <si>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</si>
  <si>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</si>
  <si>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</si>
  <si>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</si>
  <si>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</si>
  <si>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</si>
  <si>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</si>
  <si>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</si>
  <si>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</si>
  <si>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</si>
  <si>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</si>
  <si>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</si>
  <si>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</si>
  <si>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</si>
  <si>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</si>
  <si>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</si>
  <si>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</si>
  <si>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</si>
  <si>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</si>
  <si>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</si>
  <si>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</si>
  <si>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</si>
  <si>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</si>
  <si>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</si>
  <si>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</si>
  <si>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</si>
  <si>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</si>
  <si>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</si>
  <si>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</si>
  <si>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</si>
  <si>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</si>
  <si>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</si>
  <si>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</si>
  <si>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</si>
  <si>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</si>
  <si>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</si>
  <si>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</si>
  <si>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</si>
  <si>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</si>
  <si>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</si>
  <si>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</si>
  <si>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</si>
  <si>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</si>
  <si>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</si>
  <si>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</si>
  <si>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</si>
  <si>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</si>
  <si>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</si>
  <si>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</si>
  <si>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</si>
  <si>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</si>
  <si>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</si>
  <si>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</si>
  <si>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</si>
  <si>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</si>
  <si>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</si>
  <si>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</si>
  <si>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</si>
  <si>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</si>
  <si>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</si>
  <si>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</si>
  <si>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</si>
  <si>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</si>
  <si>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</si>
  <si>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</si>
  <si>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</si>
  <si>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</si>
  <si>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</si>
  <si>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</si>
  <si>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</si>
  <si>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</si>
  <si>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</si>
  <si>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</si>
  <si>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</si>
  <si>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</si>
  <si>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</si>
  <si>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</si>
  <si>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</si>
  <si>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</si>
  <si>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</si>
  <si>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</si>
  <si>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</si>
  <si>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</si>
  <si>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</si>
  <si>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</si>
  <si>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</si>
  <si>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</si>
  <si>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</si>
  <si>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</si>
  <si>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</si>
  <si>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</si>
  <si>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</si>
  <si>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</si>
  <si>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</si>
  <si>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</si>
  <si>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</si>
  <si>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</si>
  <si>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</si>
  <si>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</si>
  <si>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</si>
  <si>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</si>
  <si>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</si>
  <si>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</si>
  <si>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</si>
  <si>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</si>
  <si>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</si>
  <si>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</si>
  <si>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</si>
  <si>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</si>
  <si>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</si>
  <si>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</si>
  <si>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</si>
  <si>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</si>
  <si>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</si>
  <si>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</si>
  <si>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</si>
  <si>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</si>
  <si>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</si>
  <si>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</si>
  <si>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</si>
  <si>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</si>
  <si>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</si>
  <si>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</si>
  <si>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</si>
  <si>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</si>
  <si>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</si>
  <si>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</si>
  <si>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</si>
  <si>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</si>
  <si>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</si>
  <si>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</si>
  <si>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</si>
  <si>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</si>
  <si>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</si>
  <si>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</si>
  <si>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</si>
  <si>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</si>
  <si>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</si>
  <si>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</si>
  <si>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</si>
  <si>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</si>
  <si>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</si>
  <si>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</si>
  <si>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</si>
  <si>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</si>
  <si>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</si>
  <si>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</si>
  <si>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</si>
  <si>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</si>
  <si>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</si>
  <si>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</si>
  <si>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</si>
  <si>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</si>
  <si>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</si>
  <si>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</si>
  <si>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</si>
  <si>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</si>
  <si>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</si>
  <si>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</si>
  <si>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</si>
  <si>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</si>
  <si>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</si>
  <si>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</si>
  <si>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</si>
  <si>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</si>
  <si>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</si>
  <si>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</si>
  <si>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</si>
  <si>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</si>
  <si>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</si>
  <si>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</si>
  <si>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</si>
  <si>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</si>
  <si>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</si>
  <si>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</si>
  <si>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</si>
  <si>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</si>
  <si>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</si>
  <si>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</si>
  <si>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</si>
  <si>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</si>
  <si>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</si>
  <si>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</si>
  <si>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</si>
  <si>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</si>
  <si>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</si>
  <si>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</si>
  <si>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</si>
  <si>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</si>
  <si>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</si>
  <si>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</si>
  <si>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</si>
  <si>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</si>
  <si>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</si>
  <si>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</si>
  <si>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</si>
  <si>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</si>
  <si>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</si>
  <si>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</si>
  <si>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</si>
  <si>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</si>
  <si>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</si>
  <si>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</si>
  <si>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</si>
  <si>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</si>
  <si>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</si>
  <si>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</si>
  <si>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</si>
  <si>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</si>
  <si>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</si>
  <si>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</si>
  <si>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</si>
  <si>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</si>
  <si>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</si>
  <si>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</si>
  <si>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</si>
  <si>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</si>
  <si>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</si>
  <si>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</si>
  <si>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</si>
  <si>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</si>
  <si>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</si>
  <si>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</si>
  <si>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</si>
  <si>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</si>
  <si>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</si>
  <si>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</si>
  <si>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</si>
  <si>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</si>
  <si>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</si>
  <si>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</si>
  <si>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</si>
  <si>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</si>
  <si>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</si>
  <si>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</si>
  <si>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</si>
  <si>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</si>
  <si>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</si>
  <si>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</si>
  <si>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</si>
  <si>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</si>
  <si>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</si>
  <si>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</si>
  <si>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</si>
  <si>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</si>
  <si>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</si>
  <si>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</si>
  <si>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</si>
  <si>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</si>
  <si>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</si>
  <si>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</si>
  <si>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</si>
  <si>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</si>
  <si>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</si>
  <si>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</si>
  <si>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</si>
  <si>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</si>
  <si>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</si>
  <si>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</si>
  <si>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</si>
  <si>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</si>
  <si>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</si>
  <si>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</si>
  <si>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</si>
  <si>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</si>
  <si>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</si>
  <si>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</si>
  <si>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</si>
  <si>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</si>
  <si>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</si>
  <si>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</si>
  <si>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</si>
  <si>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</si>
  <si>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</si>
  <si>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</si>
  <si>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</si>
  <si>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</si>
  <si>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</si>
  <si>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</si>
  <si>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</si>
  <si>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</si>
  <si>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</si>
  <si>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</si>
  <si>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</si>
  <si>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</si>
  <si>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</si>
  <si>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</si>
  <si>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</si>
  <si>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</si>
  <si>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</si>
  <si>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</si>
  <si>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</si>
  <si>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</si>
  <si>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</si>
  <si>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</si>
  <si>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</si>
  <si>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</si>
  <si>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</si>
  <si>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</si>
  <si>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</si>
  <si>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</si>
  <si>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</si>
  <si>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</si>
  <si>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</si>
  <si>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</si>
  <si>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</si>
  <si>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</si>
  <si>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</si>
  <si>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</si>
  <si>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</si>
  <si>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</si>
  <si>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</si>
  <si>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</si>
  <si>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</si>
  <si>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</si>
  <si>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</si>
  <si>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</si>
  <si>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</si>
  <si>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</si>
  <si>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</si>
  <si>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</si>
  <si>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</si>
  <si>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</si>
  <si>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</si>
  <si>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</si>
  <si>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</si>
  <si>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</si>
  <si>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</si>
  <si>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</si>
  <si>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</si>
  <si>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</si>
  <si>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</si>
  <si>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</si>
  <si>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</si>
  <si>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</si>
  <si>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</si>
  <si>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</si>
  <si>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</si>
  <si>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</si>
  <si>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</si>
  <si>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</si>
  <si>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</si>
  <si>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</si>
  <si>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</si>
  <si>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</si>
  <si>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</si>
  <si>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</si>
  <si>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</si>
  <si>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</si>
  <si>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</si>
  <si>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</si>
  <si>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</si>
  <si>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</si>
  <si>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</si>
  <si>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</si>
  <si>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</si>
  <si>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</si>
  <si>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</si>
  <si>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</si>
  <si>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</si>
  <si>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</si>
  <si>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</si>
  <si>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</si>
  <si>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</si>
  <si>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</si>
  <si>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</si>
  <si>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</si>
  <si>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</si>
  <si>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</si>
  <si>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</si>
  <si>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</si>
  <si>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</si>
  <si>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</si>
  <si>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</si>
  <si>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</si>
  <si>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</si>
  <si>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</si>
  <si>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</si>
  <si>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</si>
  <si>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</si>
  <si>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</si>
  <si>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</si>
  <si>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</si>
  <si>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</si>
  <si>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</si>
  <si>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</si>
  <si>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</si>
  <si>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</si>
  <si>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</si>
  <si>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</si>
  <si>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</si>
  <si>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</si>
  <si>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</si>
  <si>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</si>
  <si>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</si>
  <si>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</si>
  <si>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</si>
  <si>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</si>
  <si>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</si>
  <si>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</si>
  <si>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</si>
  <si>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</si>
  <si>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</si>
  <si>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</si>
  <si>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</si>
  <si>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</si>
  <si>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</si>
  <si>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</si>
  <si>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</si>
  <si>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</si>
  <si>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</si>
  <si>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</si>
  <si>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</si>
  <si>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</si>
  <si>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</si>
  <si>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</si>
  <si>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</si>
  <si>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</si>
  <si>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</si>
  <si>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</si>
  <si>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</si>
  <si>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</si>
  <si>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</si>
  <si>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</si>
  <si>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</si>
  <si>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</si>
  <si>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</si>
  <si>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</si>
  <si>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</si>
  <si>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</si>
  <si>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</si>
  <si>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</si>
  <si>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</si>
  <si>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</si>
  <si>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</si>
  <si>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</si>
  <si>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</si>
  <si>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</si>
  <si>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</si>
  <si>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</si>
  <si>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</si>
  <si>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</si>
  <si>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</si>
  <si>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</si>
  <si>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</si>
  <si>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</si>
  <si>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</si>
  <si>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</si>
  <si>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</si>
  <si>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</si>
  <si>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</si>
  <si>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</si>
  <si>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</si>
  <si>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</si>
  <si>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</si>
  <si>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</si>
  <si>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</si>
  <si>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</si>
  <si>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</si>
  <si>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</si>
  <si>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</si>
  <si>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</si>
  <si>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</si>
  <si>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</si>
  <si>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</si>
  <si>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</si>
  <si>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</si>
  <si>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</si>
  <si>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</si>
  <si>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</si>
  <si>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</si>
  <si>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</si>
  <si>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</si>
  <si>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</si>
  <si>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</si>
  <si>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</si>
  <si>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</si>
  <si>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</si>
  <si>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</si>
  <si>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</si>
  <si>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</si>
  <si>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</si>
  <si>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</si>
  <si>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</si>
  <si>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</si>
  <si>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</si>
  <si>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</si>
  <si>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</si>
  <si>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</si>
  <si>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</si>
  <si>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</si>
  <si>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</si>
  <si>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</si>
  <si>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</si>
  <si>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</si>
  <si>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</si>
  <si>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</si>
  <si>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</si>
  <si>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</si>
  <si>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</si>
  <si>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</si>
  <si>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</si>
  <si>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</si>
  <si>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</si>
  <si>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</si>
  <si>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</si>
  <si>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</si>
  <si>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</si>
  <si>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</si>
  <si>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</si>
  <si>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</si>
  <si>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</si>
  <si>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</si>
  <si>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</si>
  <si>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</si>
  <si>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</si>
  <si>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</si>
  <si>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</si>
  <si>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</si>
  <si>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</si>
  <si>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</si>
  <si>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</si>
  <si>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</si>
  <si>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</si>
  <si>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</si>
  <si>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</si>
  <si>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</si>
  <si>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</si>
  <si>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</si>
  <si>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</si>
  <si>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</si>
  <si>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</si>
  <si>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</si>
  <si>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</si>
  <si>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</si>
  <si>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</si>
  <si>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</si>
  <si>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</si>
  <si>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</si>
  <si>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</si>
  <si>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</si>
  <si>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</si>
  <si>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</si>
  <si>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</si>
  <si>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</si>
  <si>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</si>
  <si>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</si>
  <si>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</si>
  <si>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</si>
  <si>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</si>
  <si>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</si>
  <si>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</si>
  <si>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</si>
  <si>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</si>
  <si>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</si>
  <si>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</si>
  <si>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</si>
  <si>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</si>
  <si>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</si>
  <si>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</si>
  <si>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</si>
  <si>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</si>
  <si>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</si>
  <si>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</si>
  <si>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</si>
  <si>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</si>
  <si>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</si>
  <si>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</si>
  <si>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</si>
  <si>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</si>
  <si>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</si>
  <si>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</si>
  <si>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</si>
  <si>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</si>
  <si>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</si>
  <si>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</si>
  <si>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</si>
  <si>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</si>
  <si>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</si>
  <si>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</si>
  <si>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</si>
  <si>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</si>
  <si>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</si>
  <si>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</si>
  <si>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</si>
  <si>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</si>
  <si>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</si>
  <si>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</si>
  <si>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</si>
  <si>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</si>
  <si>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</si>
  <si>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</si>
  <si>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</si>
  <si>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</si>
  <si>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</si>
  <si>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</si>
  <si>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</si>
  <si>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</si>
  <si>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</si>
  <si>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</si>
  <si>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</si>
  <si>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</si>
  <si>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</si>
  <si>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</si>
  <si>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</si>
  <si>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</si>
  <si>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</si>
  <si>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</si>
  <si>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</si>
  <si>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</si>
  <si>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</si>
  <si>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</si>
  <si>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</si>
  <si>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</si>
  <si>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</si>
  <si>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</si>
  <si>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</si>
  <si>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</si>
  <si>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</si>
  <si>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</si>
  <si>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</si>
  <si>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</si>
  <si>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</si>
  <si>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</si>
  <si>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</si>
  <si>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</si>
  <si>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</si>
  <si>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</si>
  <si>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</si>
  <si>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</si>
  <si>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</si>
  <si>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</si>
  <si>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</si>
  <si>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</si>
  <si>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</si>
  <si>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</si>
  <si>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</si>
  <si>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</si>
  <si>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</si>
  <si>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</si>
  <si>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</si>
  <si>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</si>
  <si>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</si>
  <si>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</si>
  <si>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</si>
  <si>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</si>
  <si>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</si>
  <si>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</si>
  <si>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</si>
  <si>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</si>
  <si>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</si>
  <si>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</si>
  <si>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</si>
  <si>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</si>
  <si>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</si>
  <si>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</si>
  <si>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</si>
  <si>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</si>
  <si>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</si>
  <si>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</si>
  <si>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</si>
  <si>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</si>
  <si>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</si>
  <si>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</si>
  <si>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</si>
  <si>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</si>
  <si>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</si>
  <si>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</si>
  <si>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</si>
  <si>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</si>
  <si>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</si>
  <si>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</si>
  <si>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</si>
  <si>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</si>
  <si>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</si>
  <si>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</si>
  <si>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</si>
  <si>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</si>
  <si>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</si>
  <si>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</si>
  <si>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</si>
  <si>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</si>
  <si>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</si>
  <si>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</si>
  <si>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</si>
  <si>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</si>
  <si>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</si>
  <si>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</si>
  <si>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</si>
  <si>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</si>
  <si>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</si>
  <si>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</si>
  <si>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</si>
  <si>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</si>
  <si>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</si>
  <si>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</si>
  <si>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</si>
  <si>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</si>
  <si>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</si>
  <si>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</si>
  <si>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</si>
  <si>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</si>
  <si>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</si>
  <si>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</si>
  <si>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</si>
  <si>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</si>
  <si>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</si>
  <si>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</si>
  <si>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</si>
  <si>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</si>
  <si>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</si>
  <si>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</si>
  <si>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</si>
  <si>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</si>
  <si>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</si>
  <si>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</si>
  <si>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</si>
  <si>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</si>
  <si>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</si>
  <si>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</si>
  <si>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</si>
  <si>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</si>
  <si>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</si>
  <si>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</si>
  <si>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</si>
  <si>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</si>
  <si>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</si>
  <si>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</si>
  <si>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</si>
  <si>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</si>
  <si>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</si>
  <si>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</si>
  <si>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</si>
  <si>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</si>
  <si>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</si>
  <si>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</si>
  <si>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</si>
  <si>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</si>
  <si>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</si>
  <si>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</si>
  <si>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</si>
  <si>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</si>
  <si>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</si>
  <si>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</si>
  <si>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</si>
  <si>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</si>
  <si>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</si>
  <si>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</si>
  <si>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</si>
  <si>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</si>
  <si>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</si>
  <si>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</si>
  <si>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</si>
  <si>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</si>
  <si>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</si>
  <si>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</si>
  <si>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</si>
  <si>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</si>
  <si>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</si>
  <si>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</si>
  <si>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</si>
  <si>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</si>
  <si>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</si>
  <si>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</si>
  <si>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</si>
  <si>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</si>
  <si>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</si>
  <si>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</si>
  <si>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</si>
  <si>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</si>
  <si>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</si>
  <si>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</si>
  <si>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</si>
  <si>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</si>
  <si>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</si>
  <si>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</si>
  <si>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</si>
  <si>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</si>
  <si>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</si>
  <si>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</si>
  <si>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</si>
  <si>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</si>
  <si>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</si>
  <si>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</si>
  <si>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</si>
  <si>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</si>
  <si>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</si>
  <si>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</si>
  <si>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</si>
  <si>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</si>
  <si>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</si>
  <si>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</si>
  <si>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</si>
  <si>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</si>
  <si>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</si>
  <si>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</si>
  <si>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</si>
  <si>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</si>
  <si>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</si>
  <si>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</si>
  <si>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</si>
  <si>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</si>
  <si>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</si>
  <si>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</si>
  <si>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</si>
  <si>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</si>
  <si>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</si>
  <si>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</si>
  <si>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</si>
  <si>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</si>
  <si>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</si>
  <si>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</si>
  <si>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</si>
  <si>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</si>
  <si>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</si>
  <si>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</si>
  <si>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</si>
  <si>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</si>
  <si>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</si>
  <si>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</si>
  <si>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</si>
  <si>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</si>
  <si>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</si>
  <si>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</si>
  <si>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</si>
  <si>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</si>
  <si>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</si>
  <si>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</si>
  <si>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</si>
  <si>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</si>
  <si>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</si>
  <si>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</si>
  <si>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</si>
  <si>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</si>
  <si>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</si>
  <si>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</si>
  <si>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</si>
  <si>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</si>
  <si>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</si>
  <si>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</si>
  <si>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</si>
  <si>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</si>
  <si>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</si>
  <si>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</si>
  <si>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</si>
  <si>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</si>
  <si>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</si>
  <si>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</si>
  <si>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</si>
  <si>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</si>
  <si>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</si>
  <si>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</si>
  <si>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</si>
  <si>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</si>
  <si>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</si>
  <si>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</si>
  <si>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</si>
  <si>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</si>
  <si>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</si>
  <si>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</si>
  <si>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</si>
  <si>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</si>
  <si>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</si>
  <si>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</si>
  <si>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</si>
  <si>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</si>
  <si>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</si>
  <si>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</si>
  <si>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</si>
  <si>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</si>
  <si>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</si>
  <si>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</si>
  <si>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</si>
  <si>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</si>
  <si>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</si>
  <si>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</si>
  <si>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</si>
  <si>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</si>
  <si>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</si>
  <si>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</si>
  <si>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</si>
  <si>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</si>
  <si>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</si>
  <si>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</si>
  <si>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</si>
  <si>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</si>
  <si>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</si>
  <si>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</si>
  <si>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</si>
  <si>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</si>
  <si>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</si>
  <si>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</si>
  <si>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</si>
  <si>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</si>
  <si>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</si>
  <si>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</si>
  <si>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</si>
  <si>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</si>
  <si>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</si>
  <si>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</si>
  <si>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</si>
  <si>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</si>
  <si>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</si>
  <si>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</si>
  <si>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</si>
  <si>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</si>
  <si>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</si>
  <si>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</si>
  <si>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</si>
  <si>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</si>
  <si>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</si>
  <si>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</si>
  <si>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</si>
  <si>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</si>
  <si>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</si>
  <si>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</si>
  <si>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</si>
  <si>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</si>
  <si>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</si>
  <si>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</si>
  <si>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</si>
  <si>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</si>
  <si>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</si>
  <si>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</si>
  <si>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</si>
  <si>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</si>
  <si>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</si>
  <si>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</si>
  <si>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</si>
  <si>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</si>
  <si>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</si>
  <si>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</si>
  <si>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</si>
  <si>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</si>
  <si>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</si>
  <si>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</si>
  <si>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</si>
  <si>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</si>
  <si>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</si>
  <si>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</si>
  <si>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</si>
  <si>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</si>
  <si>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</si>
  <si>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</si>
  <si>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</si>
  <si>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</si>
  <si>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</si>
  <si>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</si>
  <si>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</si>
  <si>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</si>
  <si>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</si>
  <si>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</si>
  <si>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</si>
  <si>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</si>
  <si>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</si>
  <si>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</si>
  <si>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</si>
  <si>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</si>
  <si>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</si>
  <si>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</si>
  <si>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</si>
  <si>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</si>
  <si>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</si>
  <si>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</si>
  <si>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</si>
  <si>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</si>
  <si>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</si>
  <si>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</si>
  <si>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</si>
  <si>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</si>
  <si>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</si>
  <si>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</si>
  <si>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</si>
  <si>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</si>
  <si>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</si>
  <si>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</si>
  <si>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</si>
  <si>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</si>
  <si>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</si>
  <si>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</si>
  <si>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</si>
  <si>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</si>
  <si>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</si>
  <si>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</si>
  <si>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</si>
  <si>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</si>
  <si>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</si>
  <si>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</si>
  <si>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</si>
  <si>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</si>
  <si>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</si>
  <si>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</si>
  <si>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</si>
  <si>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</si>
  <si>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</si>
  <si>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</si>
  <si>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</si>
  <si>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</si>
  <si>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</si>
  <si>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</si>
  <si>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</si>
  <si>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</si>
  <si>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</si>
  <si>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</si>
  <si>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</si>
  <si>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</si>
  <si>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</si>
  <si>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</si>
  <si>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</si>
  <si>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</si>
  <si>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</si>
  <si>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</si>
  <si>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</si>
  <si>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</si>
  <si>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</si>
  <si>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</si>
  <si>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</si>
  <si>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</si>
  <si>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</si>
  <si>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</si>
  <si>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</si>
  <si>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</si>
  <si>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</si>
  <si>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</si>
  <si>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</si>
  <si>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</si>
  <si>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</si>
  <si>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</si>
  <si>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</si>
  <si>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</si>
  <si>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</si>
  <si>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</si>
  <si>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</si>
  <si>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</si>
  <si>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</si>
  <si>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</si>
  <si>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</si>
  <si>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</si>
  <si>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</si>
  <si>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</si>
  <si>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</si>
  <si>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</si>
  <si>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</si>
  <si>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</si>
  <si>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</si>
  <si>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</si>
  <si>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</si>
  <si>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</si>
  <si>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</si>
  <si>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</si>
  <si>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</si>
  <si>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</si>
  <si>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</si>
  <si>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</si>
  <si>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</si>
  <si>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</si>
  <si>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</si>
  <si>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</si>
  <si>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</si>
  <si>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</si>
  <si>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</si>
  <si>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</si>
  <si>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</si>
  <si>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</si>
  <si>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</si>
  <si>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</si>
  <si>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</si>
  <si>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</si>
  <si>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</si>
  <si>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</si>
  <si>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</si>
  <si>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</si>
  <si>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</si>
  <si>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</si>
  <si>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</si>
  <si>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</si>
  <si>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</si>
  <si>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</si>
  <si>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</si>
  <si>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</si>
  <si>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</si>
  <si>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</si>
  <si>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</si>
  <si>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</si>
  <si>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</si>
  <si>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</si>
  <si>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</si>
  <si>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</si>
  <si>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</si>
  <si>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</si>
  <si>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</si>
  <si>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</si>
  <si>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</si>
  <si>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</si>
  <si>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</si>
  <si>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</si>
  <si>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</si>
  <si>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</si>
  <si>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</si>
  <si>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</si>
  <si>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</si>
  <si>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</si>
  <si>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</si>
  <si>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</si>
  <si>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</si>
  <si>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</si>
  <si>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</si>
  <si>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</si>
  <si>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</si>
  <si>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</si>
  <si>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</si>
  <si>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</si>
  <si>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</si>
  <si>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</si>
  <si>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</si>
  <si>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</si>
  <si>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</si>
  <si>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</si>
  <si>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</si>
  <si>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</si>
  <si>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</si>
  <si>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</si>
  <si>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</si>
  <si>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</si>
  <si>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</si>
  <si>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</si>
  <si>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</si>
  <si>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</si>
  <si>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</si>
  <si>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</si>
  <si>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</si>
  <si>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</si>
  <si>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</si>
  <si>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</si>
  <si>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</si>
  <si>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</si>
  <si>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</si>
  <si>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</si>
  <si>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</si>
  <si>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</si>
  <si>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</si>
  <si>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</si>
  <si>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</si>
  <si>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</si>
  <si>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</si>
  <si>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</si>
  <si>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</si>
  <si>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</si>
  <si>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</si>
  <si>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</si>
  <si>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</si>
  <si>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</si>
  <si>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</si>
  <si>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</si>
  <si>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</si>
  <si>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</si>
  <si>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</si>
  <si>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</si>
  <si>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</si>
  <si>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</si>
  <si>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</si>
  <si>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</si>
  <si>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</si>
  <si>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</si>
  <si>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</si>
  <si>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</si>
  <si>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</si>
  <si>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</si>
  <si>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</si>
  <si>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</si>
  <si>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</si>
  <si>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</si>
  <si>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</si>
  <si>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</si>
  <si>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</si>
  <si>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</si>
  <si>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</si>
  <si>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</si>
  <si>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</si>
  <si>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</si>
  <si>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</si>
  <si>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</si>
  <si>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</si>
  <si>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</si>
  <si>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</si>
  <si>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</si>
  <si>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</si>
  <si>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</si>
  <si>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</si>
  <si>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</si>
  <si>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</si>
  <si>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</si>
  <si>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</si>
  <si>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</si>
  <si>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</si>
  <si>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</si>
  <si>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</si>
  <si>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</si>
  <si>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</si>
  <si>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</si>
  <si>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</si>
  <si>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</si>
  <si>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</si>
  <si>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</si>
  <si>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</si>
  <si>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</si>
  <si>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</si>
  <si>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</si>
  <si>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</si>
  <si>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</si>
  <si>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</si>
  <si>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</si>
  <si>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</si>
  <si>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</si>
  <si>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</si>
  <si>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</si>
  <si>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</si>
  <si>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</si>
  <si>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</si>
  <si>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</si>
  <si>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</si>
  <si>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</si>
  <si>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</si>
  <si>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</si>
  <si>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</si>
  <si>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</si>
  <si>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</si>
  <si>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</si>
  <si>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</si>
  <si>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</si>
  <si>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</si>
  <si>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</si>
  <si>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</si>
  <si>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</si>
  <si>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</si>
  <si>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</si>
  <si>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</si>
  <si>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</si>
  <si>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</si>
  <si>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</si>
  <si>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</si>
  <si>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</si>
  <si>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</si>
  <si>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</si>
  <si>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</si>
  <si>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</si>
  <si>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</si>
  <si>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</si>
  <si>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</si>
  <si>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</si>
  <si>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</si>
  <si>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</si>
  <si>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</si>
  <si>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</si>
  <si>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</si>
  <si>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</si>
  <si>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</si>
  <si>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</si>
  <si>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</si>
  <si>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</si>
  <si>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</si>
  <si>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</si>
  <si>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</si>
  <si>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</si>
  <si>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</si>
  <si>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</si>
  <si>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</si>
  <si>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</si>
  <si>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</si>
  <si>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</si>
  <si>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</si>
  <si>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</si>
  <si>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</si>
  <si>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</si>
  <si>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</si>
  <si>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</si>
  <si>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</si>
  <si>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</si>
  <si>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</si>
  <si>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</si>
  <si>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</si>
  <si>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</si>
  <si>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</si>
  <si>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</si>
  <si>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</si>
  <si>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</si>
  <si>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</si>
  <si>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</si>
  <si>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</si>
  <si>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</si>
  <si>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</si>
  <si>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</si>
  <si>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</si>
  <si>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</si>
  <si>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</si>
  <si>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</si>
  <si>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</si>
  <si>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</si>
  <si>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</si>
  <si>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</si>
  <si>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</si>
  <si>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</si>
  <si>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</si>
  <si>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</si>
  <si>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</si>
  <si>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</si>
  <si>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</si>
  <si>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</si>
  <si>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</si>
  <si>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</si>
  <si>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</si>
  <si>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</si>
  <si>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</si>
  <si>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</si>
  <si>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</si>
  <si>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</si>
  <si>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</si>
  <si>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</si>
  <si>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</si>
  <si>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</si>
  <si>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</si>
  <si>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</si>
  <si>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</si>
  <si>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</si>
  <si>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</si>
  <si>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</si>
  <si>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</si>
  <si>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</si>
  <si>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</si>
  <si>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</si>
  <si>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</si>
  <si>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</si>
  <si>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</si>
  <si>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</si>
  <si>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</si>
  <si>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</si>
  <si>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</si>
  <si>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</si>
  <si>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</si>
  <si>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</si>
  <si>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</si>
  <si>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</si>
  <si>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</si>
  <si>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</si>
  <si>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</si>
  <si>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</si>
  <si>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</si>
  <si>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</si>
  <si>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</si>
  <si>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</si>
  <si>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</si>
  <si>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</si>
  <si>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</si>
  <si>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</si>
  <si>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</si>
  <si>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</si>
  <si>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</si>
  <si>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</si>
  <si>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</si>
  <si>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</si>
  <si>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</si>
  <si>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</si>
  <si>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</si>
  <si>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</si>
  <si>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</si>
  <si>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</si>
  <si>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</si>
  <si>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</si>
  <si>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</si>
  <si>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</si>
  <si>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</si>
  <si>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</si>
  <si>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</si>
  <si>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</si>
  <si>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</si>
  <si>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</si>
  <si>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</si>
  <si>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</si>
  <si>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</si>
  <si>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</si>
  <si>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</si>
  <si>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</si>
  <si>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</si>
  <si>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</si>
  <si>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</si>
  <si>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</si>
  <si>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</si>
  <si>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</si>
  <si>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</si>
  <si>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</si>
  <si>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</si>
  <si>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</si>
  <si>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</si>
  <si>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</si>
  <si>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</si>
  <si>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</si>
  <si>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</si>
  <si>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</si>
  <si>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</si>
  <si>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</si>
  <si>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</si>
  <si>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</si>
  <si>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</si>
  <si>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</si>
  <si>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</si>
  <si>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</si>
  <si>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</si>
  <si>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</si>
  <si>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</si>
  <si>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</si>
  <si>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</si>
  <si>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</si>
  <si>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</si>
  <si>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</si>
  <si>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</si>
  <si>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</si>
  <si>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</si>
  <si>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</si>
  <si>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</si>
  <si>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</si>
  <si>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</si>
  <si>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</si>
  <si>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</si>
  <si>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</si>
  <si>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</si>
  <si>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</si>
  <si>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</si>
  <si>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</si>
  <si>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</si>
  <si>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</si>
  <si>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</si>
  <si>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</si>
  <si>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</si>
  <si>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</si>
  <si>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</si>
  <si>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</si>
  <si>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</si>
  <si>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</si>
  <si>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</si>
  <si>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</si>
  <si>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</si>
  <si>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</si>
  <si>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</si>
  <si>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</si>
  <si>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</si>
  <si>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</si>
  <si>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</si>
  <si>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</si>
  <si>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</si>
  <si>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</si>
  <si>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</si>
  <si>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</si>
  <si>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</si>
  <si>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</si>
  <si>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</si>
  <si>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</si>
  <si>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</si>
  <si>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</si>
  <si>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</si>
  <si>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</si>
  <si>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</si>
  <si>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</si>
  <si>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</si>
  <si>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</si>
  <si>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</si>
  <si>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</si>
  <si>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</si>
  <si>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</si>
  <si>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</si>
  <si>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</si>
  <si>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</si>
  <si>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</si>
  <si>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</si>
  <si>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</si>
  <si>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</si>
  <si>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</si>
  <si>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</si>
  <si>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</si>
  <si>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</si>
  <si>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</si>
  <si>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</si>
  <si>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</si>
  <si>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</si>
  <si>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</si>
  <si>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</si>
  <si>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</si>
  <si>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</si>
  <si>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</si>
  <si>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</si>
  <si>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</si>
  <si>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</si>
  <si>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</si>
  <si>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</si>
  <si>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</si>
  <si>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</si>
  <si>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</si>
  <si>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</si>
  <si>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</si>
  <si>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</si>
  <si>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</si>
  <si>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</si>
  <si>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</si>
  <si>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</si>
  <si>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</si>
  <si>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</si>
  <si>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</si>
  <si>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</si>
  <si>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</si>
  <si>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</si>
  <si>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</si>
  <si>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</si>
  <si>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</si>
  <si>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</si>
  <si>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</si>
  <si>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</si>
  <si>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</si>
  <si>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</si>
  <si>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</si>
  <si>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</si>
  <si>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</si>
  <si>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</si>
  <si>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</si>
  <si>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</si>
  <si>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</si>
  <si>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</si>
  <si>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</si>
  <si>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</si>
  <si>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</si>
  <si>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</si>
  <si>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</si>
  <si>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</si>
  <si>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</si>
  <si>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</si>
  <si>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</si>
  <si>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</si>
  <si>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</si>
  <si>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</si>
  <si>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</si>
  <si>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</si>
  <si>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</si>
  <si>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</si>
  <si>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</si>
  <si>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</si>
  <si>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</si>
  <si>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</si>
  <si>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</si>
  <si>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</si>
  <si>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</si>
  <si>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</si>
  <si>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</si>
  <si>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</si>
  <si>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</si>
  <si>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</si>
  <si>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</si>
  <si>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</si>
  <si>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</si>
  <si>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</si>
  <si>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</si>
  <si>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</si>
  <si>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</si>
  <si>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</si>
  <si>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</si>
  <si>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</si>
  <si>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</si>
  <si>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</si>
  <si>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</si>
  <si>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</si>
  <si>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</si>
  <si>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</si>
  <si>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</si>
  <si>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</si>
  <si>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</si>
  <si>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</si>
  <si>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</si>
  <si>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</si>
  <si>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</si>
  <si>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</si>
  <si>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</si>
  <si>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</si>
  <si>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</si>
  <si>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</si>
  <si>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</si>
  <si>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</si>
  <si>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</si>
  <si>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</si>
  <si>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</si>
  <si>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</si>
  <si>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</si>
  <si>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</si>
  <si>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</si>
  <si>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</si>
  <si>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</si>
  <si>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</si>
  <si>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</si>
  <si>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</si>
  <si>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</si>
  <si>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</si>
  <si>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</si>
  <si>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</si>
  <si>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</si>
  <si>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</si>
  <si>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</si>
  <si>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</si>
  <si>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</si>
  <si>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</si>
  <si>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</si>
  <si>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</si>
  <si>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</si>
  <si>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</si>
  <si>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</si>
  <si>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</si>
  <si>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</si>
  <si>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</si>
  <si>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</si>
  <si>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</si>
  <si>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</si>
  <si>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</si>
  <si>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</si>
  <si>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</si>
  <si>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</si>
  <si>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</si>
  <si>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</si>
  <si>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</si>
  <si>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</si>
  <si>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</si>
  <si>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</si>
  <si>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</si>
  <si>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</si>
  <si>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</si>
  <si>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</si>
  <si>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</si>
  <si>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</si>
  <si>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</si>
  <si>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</si>
  <si>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</si>
  <si>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</si>
  <si>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</si>
  <si>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</si>
  <si>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</si>
  <si>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</si>
  <si>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</si>
  <si>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</si>
  <si>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</si>
  <si>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</si>
  <si>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</si>
  <si>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</si>
  <si>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</si>
  <si>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</si>
  <si>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</si>
  <si>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</si>
  <si>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</si>
  <si>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</si>
  <si>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</si>
  <si>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</si>
  <si>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</si>
  <si>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</si>
  <si>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</si>
  <si>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</si>
  <si>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</si>
  <si>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</si>
  <si>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</si>
  <si>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</si>
  <si>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</si>
  <si>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</si>
  <si>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</si>
  <si>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</si>
  <si>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</si>
  <si>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</si>
  <si>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</si>
  <si>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</si>
  <si>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</si>
  <si>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</si>
  <si>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</si>
  <si>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</si>
  <si>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</si>
  <si>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</si>
  <si>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</si>
  <si>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</si>
  <si>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</si>
  <si>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</si>
  <si>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</si>
  <si>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</si>
  <si>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</si>
  <si>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</si>
  <si>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</si>
  <si>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</si>
  <si>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</si>
  <si>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</si>
  <si>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</si>
  <si>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</si>
  <si>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</si>
  <si>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</si>
  <si>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</si>
  <si>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</si>
  <si>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</si>
  <si>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</si>
  <si>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</si>
  <si>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</si>
  <si>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</si>
  <si>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</si>
  <si>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</si>
  <si>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</si>
  <si>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</si>
  <si>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</si>
  <si>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</si>
  <si>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</si>
  <si>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</si>
  <si>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</si>
  <si>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</si>
  <si>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</si>
  <si>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</si>
  <si>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</si>
  <si>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</si>
  <si>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</si>
  <si>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</si>
  <si>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</si>
  <si>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</si>
  <si>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</si>
  <si>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</si>
  <si>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</si>
  <si>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</si>
  <si>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</si>
  <si>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</si>
  <si>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</si>
  <si>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</si>
  <si>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</si>
  <si>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</si>
  <si>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</si>
  <si>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</si>
  <si>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</si>
  <si>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</si>
  <si>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</si>
  <si>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</si>
  <si>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</si>
  <si>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</si>
  <si>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</si>
  <si>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</si>
  <si>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</si>
  <si>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</si>
  <si>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</si>
  <si>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</si>
  <si>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</si>
  <si>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</si>
  <si>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</si>
  <si>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</si>
  <si>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</si>
  <si>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</si>
  <si>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</si>
  <si>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</si>
  <si>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</si>
  <si>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</si>
  <si>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</si>
  <si>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</si>
  <si>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</si>
  <si>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</si>
  <si>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</si>
  <si>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</si>
  <si>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</si>
  <si>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</si>
  <si>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</si>
  <si>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</si>
  <si>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</si>
  <si>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</si>
  <si>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</si>
  <si>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</si>
  <si>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</si>
  <si>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</si>
  <si>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</si>
  <si>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</si>
  <si>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</si>
  <si>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</si>
  <si>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</si>
  <si>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</si>
  <si>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</si>
  <si>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</si>
  <si>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</si>
  <si>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</si>
  <si>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</si>
  <si>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</si>
  <si>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</si>
  <si>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</si>
  <si>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</si>
  <si>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</si>
  <si>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</si>
  <si>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</si>
  <si>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</si>
  <si>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</si>
  <si>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</si>
  <si>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</si>
  <si>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</si>
  <si>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</si>
  <si>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</si>
  <si>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</si>
  <si>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</si>
  <si>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</si>
  <si>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</si>
  <si>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</si>
  <si>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</si>
  <si>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</si>
  <si>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</si>
  <si>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</si>
  <si>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</si>
  <si>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</si>
  <si>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</si>
  <si>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</si>
  <si>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</si>
  <si>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</si>
  <si>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</si>
  <si>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</si>
  <si>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</si>
  <si>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</si>
  <si>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</si>
  <si>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</si>
  <si>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</si>
  <si>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</si>
  <si>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</si>
  <si>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</si>
  <si>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</si>
  <si>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</si>
  <si>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</si>
  <si>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</si>
  <si>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</si>
  <si>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</si>
  <si>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</si>
  <si>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</si>
  <si>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</si>
  <si>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</si>
  <si>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</si>
  <si>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</si>
  <si>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</si>
  <si>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</si>
  <si>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</si>
  <si>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</si>
  <si>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</si>
  <si>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</si>
  <si>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</si>
  <si>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</si>
  <si>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</si>
  <si>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</si>
  <si>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</si>
  <si>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</si>
  <si>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</si>
  <si>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</si>
  <si>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</si>
  <si>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</si>
  <si>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</si>
  <si>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</si>
  <si>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</si>
  <si>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</si>
  <si>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</si>
  <si>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</si>
  <si>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</si>
  <si>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</si>
  <si>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</si>
  <si>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</si>
  <si>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</si>
  <si>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</si>
  <si>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</si>
  <si>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</si>
  <si>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</si>
  <si>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</si>
  <si>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</si>
  <si>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</si>
  <si>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</si>
  <si>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</si>
  <si>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</si>
  <si>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</si>
  <si>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</si>
  <si>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</si>
  <si>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</si>
  <si>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</si>
  <si>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</si>
  <si>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</si>
  <si>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</si>
  <si>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</si>
  <si>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</si>
  <si>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</si>
  <si>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</si>
  <si>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</si>
  <si>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</si>
  <si>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</si>
  <si>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</si>
  <si>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</si>
  <si>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</si>
  <si>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</si>
  <si>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</si>
  <si>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</si>
  <si>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</si>
  <si>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</si>
  <si>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</si>
  <si>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</si>
  <si>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</si>
  <si>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</si>
  <si>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</si>
  <si>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</si>
  <si>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</si>
  <si>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</si>
  <si>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</si>
  <si>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</si>
  <si>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</si>
  <si>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</si>
  <si>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</si>
  <si>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</si>
  <si>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</si>
  <si>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</si>
  <si>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</si>
  <si>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</si>
  <si>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</si>
  <si>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</si>
  <si>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</si>
  <si>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</si>
  <si>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</si>
  <si>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</si>
  <si>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</si>
  <si>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</si>
  <si>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</si>
  <si>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</si>
  <si>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</si>
  <si>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</si>
  <si>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</si>
  <si>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</si>
  <si>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</si>
  <si>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</si>
  <si>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</si>
  <si>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</si>
  <si>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</si>
  <si>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</si>
  <si>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</si>
  <si>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</si>
  <si>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</si>
  <si>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</si>
  <si>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</si>
  <si>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</si>
  <si>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</si>
  <si>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</si>
  <si>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</si>
  <si>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</si>
  <si>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</si>
  <si>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</si>
  <si>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</si>
  <si>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</si>
  <si>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</si>
  <si>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</si>
  <si>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</si>
  <si>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</si>
  <si>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</si>
  <si>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</si>
  <si>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</si>
  <si>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</si>
  <si>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</si>
  <si>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</si>
  <si>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</si>
  <si>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</si>
  <si>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</si>
  <si>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</si>
  <si>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</si>
  <si>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</si>
  <si>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</si>
  <si>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</si>
  <si>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</si>
  <si>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</si>
  <si>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</si>
  <si>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</si>
  <si>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</si>
  <si>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</si>
  <si>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</si>
  <si>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</si>
  <si>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</si>
  <si>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</si>
  <si>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</si>
  <si>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</si>
  <si>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</si>
  <si>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</si>
  <si>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</si>
  <si>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</si>
  <si>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</si>
  <si>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</si>
  <si>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</si>
  <si>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</si>
  <si>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</si>
  <si>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</si>
  <si>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</si>
  <si>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</si>
  <si>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</si>
  <si>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</si>
  <si>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</si>
  <si>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</si>
  <si>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</si>
  <si>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</si>
  <si>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</si>
  <si>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</si>
  <si>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</si>
  <si>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</si>
  <si>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</si>
  <si>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</si>
  <si>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</si>
  <si>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</si>
  <si>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</si>
  <si>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</si>
  <si>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</si>
  <si>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</si>
  <si>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</si>
  <si>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</si>
  <si>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</si>
  <si>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</si>
  <si>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</si>
  <si>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</si>
  <si>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</si>
  <si>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</si>
  <si>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</si>
  <si>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</si>
  <si>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</si>
  <si>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</si>
  <si>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</si>
  <si>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</si>
  <si>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</si>
  <si>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</si>
  <si>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</si>
  <si>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</si>
  <si>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</si>
  <si>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</si>
  <si>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</si>
  <si>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</si>
  <si>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</si>
  <si>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</si>
  <si>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</si>
  <si>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</si>
  <si>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</si>
  <si>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</si>
  <si>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</si>
  <si>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</si>
  <si>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</si>
  <si>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</si>
  <si>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</si>
  <si>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</si>
  <si>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</si>
  <si>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</si>
  <si>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</si>
  <si>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</si>
  <si>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</si>
  <si>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</si>
  <si>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</si>
  <si>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</si>
  <si>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</si>
  <si>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</si>
  <si>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</si>
  <si>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</si>
  <si>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</si>
  <si>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</si>
  <si>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</si>
  <si>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</si>
  <si>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</si>
  <si>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</si>
  <si>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</si>
  <si>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</si>
  <si>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</si>
  <si>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</si>
  <si>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</si>
  <si>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</si>
  <si>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</si>
  <si>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</si>
  <si>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</si>
  <si>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</si>
  <si>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</si>
  <si>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</si>
  <si>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</si>
  <si>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</si>
  <si>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</si>
  <si>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</si>
  <si>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</si>
  <si>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</si>
  <si>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</si>
  <si>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</si>
  <si>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</si>
  <si>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</si>
  <si>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</si>
  <si>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</si>
  <si>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</si>
  <si>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</si>
  <si>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</si>
  <si>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</si>
  <si>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</si>
  <si>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</si>
  <si>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</si>
  <si>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</si>
  <si>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</si>
  <si>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</si>
  <si>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</si>
  <si>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</si>
  <si>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</si>
  <si>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</si>
  <si>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</si>
  <si>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</si>
  <si>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</si>
  <si>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</si>
  <si>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</si>
  <si>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</si>
  <si>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</si>
  <si>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</si>
  <si>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</si>
  <si>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</si>
  <si>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</si>
  <si>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</si>
  <si>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</si>
  <si>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</si>
  <si>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</si>
  <si>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</si>
  <si>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</si>
  <si>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</si>
  <si>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</si>
  <si>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</si>
  <si>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</si>
  <si>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</si>
  <si>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</si>
  <si>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</si>
  <si>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</si>
  <si>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</si>
  <si>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</si>
  <si>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</si>
  <si>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</si>
  <si>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</si>
  <si>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</si>
  <si>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</si>
  <si>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</si>
  <si>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</si>
  <si>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</si>
  <si>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</si>
  <si>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</si>
  <si>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</si>
  <si>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</si>
  <si>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</si>
  <si>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</si>
  <si>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</si>
  <si>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</si>
  <si>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</si>
  <si>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</si>
  <si>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</si>
  <si>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</si>
  <si>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</si>
  <si>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</si>
  <si>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</si>
  <si>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</si>
  <si>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</si>
  <si>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</si>
  <si>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</si>
  <si>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</si>
  <si>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</si>
  <si>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</si>
  <si>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</si>
  <si>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</si>
  <si>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</si>
  <si>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</si>
  <si>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</si>
  <si>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</si>
  <si>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</si>
  <si>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</si>
  <si>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</si>
  <si>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</si>
  <si>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</si>
  <si>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</si>
  <si>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</si>
  <si>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</si>
  <si>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</si>
  <si>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</si>
  <si>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</si>
  <si>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</si>
  <si>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</si>
  <si>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</si>
  <si>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</si>
  <si>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</si>
  <si>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</si>
  <si>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</si>
  <si>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</si>
  <si>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</si>
  <si>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</si>
  <si>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</si>
  <si>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</si>
  <si>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</si>
  <si>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</si>
  <si>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</si>
  <si>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</si>
  <si>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</si>
  <si>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</si>
  <si>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</si>
  <si>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</si>
  <si>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</si>
  <si>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</si>
  <si>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</si>
  <si>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</si>
  <si>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</si>
  <si>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</si>
  <si>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</si>
  <si>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</si>
  <si>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</si>
  <si>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</si>
  <si>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</si>
  <si>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</si>
  <si>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</si>
  <si>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</si>
  <si>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</si>
  <si>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</si>
  <si>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</si>
  <si>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</si>
  <si>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</si>
  <si>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</si>
  <si>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</si>
  <si>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</si>
  <si>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</si>
  <si>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</si>
  <si>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</si>
  <si>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</si>
  <si>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</si>
  <si>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</si>
  <si>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</si>
  <si>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</si>
  <si>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</si>
  <si>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</si>
  <si>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</si>
  <si>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</si>
  <si>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</si>
  <si>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</si>
  <si>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</si>
  <si>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</si>
  <si>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</si>
  <si>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</si>
  <si>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</si>
  <si>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</si>
  <si>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</si>
  <si>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</si>
  <si>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</si>
  <si>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</si>
  <si>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</si>
  <si>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</si>
  <si>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</si>
  <si>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</si>
  <si>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</si>
  <si>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</si>
  <si>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</si>
  <si>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</si>
  <si>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</si>
  <si>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</si>
  <si>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</si>
  <si>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</si>
  <si>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</si>
  <si>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</si>
  <si>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</si>
  <si>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</si>
  <si>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</si>
  <si>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</si>
  <si>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</si>
  <si>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</si>
  <si>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</si>
  <si>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</si>
  <si>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</si>
  <si>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</si>
  <si>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</si>
  <si>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</si>
  <si>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</si>
  <si>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</si>
  <si>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</si>
  <si>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</si>
  <si>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</si>
  <si>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</si>
  <si>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</si>
  <si>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</si>
  <si>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</si>
  <si>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</si>
  <si>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</si>
  <si>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</si>
  <si>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</si>
  <si>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</si>
  <si>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</si>
  <si>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</si>
  <si>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</si>
  <si>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</si>
  <si>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</si>
  <si>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</si>
  <si>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</si>
  <si>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</si>
  <si>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</si>
  <si>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</si>
  <si>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</si>
  <si>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</si>
  <si>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</si>
  <si>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</si>
  <si>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</si>
  <si>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</si>
  <si>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</si>
  <si>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</si>
  <si>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</si>
  <si>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</si>
  <si>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</si>
  <si>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</si>
  <si>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</si>
  <si>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</si>
  <si>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</si>
  <si>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</si>
  <si>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</si>
  <si>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</si>
  <si>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</si>
  <si>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</si>
  <si>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</si>
  <si>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</si>
  <si>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</si>
  <si>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</si>
  <si>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</si>
  <si>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</si>
  <si>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</si>
  <si>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</si>
  <si>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</si>
  <si>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</si>
  <si>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</si>
  <si>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</si>
  <si>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</si>
  <si>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</si>
  <si>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</si>
  <si>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</si>
  <si>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</si>
  <si>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</si>
  <si>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</si>
  <si>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</si>
  <si>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</si>
  <si>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</si>
  <si>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</si>
  <si>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</si>
  <si>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</si>
  <si>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</si>
  <si>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</si>
  <si>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</si>
  <si>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</si>
  <si>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</si>
  <si>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</si>
  <si>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</si>
  <si>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</si>
  <si>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</si>
  <si>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</si>
  <si>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</si>
  <si>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</si>
  <si>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</si>
  <si>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</si>
  <si>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</si>
  <si>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</si>
  <si>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</si>
  <si>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</si>
  <si>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</si>
  <si>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</si>
  <si>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</si>
  <si>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</si>
  <si>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</si>
  <si>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</si>
  <si>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</si>
  <si>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</si>
  <si>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</si>
  <si>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</si>
  <si>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</si>
  <si>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</si>
  <si>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</si>
  <si>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</si>
  <si>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</si>
  <si>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</si>
  <si>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</si>
  <si>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</si>
  <si>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</si>
  <si>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</si>
  <si>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</si>
  <si>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</si>
  <si>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</si>
  <si>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</si>
  <si>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</si>
  <si>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</si>
  <si>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</si>
  <si>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</si>
  <si>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</si>
  <si>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</si>
  <si>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</si>
  <si>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</si>
  <si>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</si>
  <si>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</si>
  <si>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</si>
  <si>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</si>
  <si>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</si>
  <si>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</si>
  <si>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</si>
  <si>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</si>
  <si>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</si>
  <si>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</si>
  <si>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</si>
  <si>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</si>
  <si>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</si>
  <si>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</si>
  <si>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</si>
  <si>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</si>
  <si>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</si>
  <si>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</si>
  <si>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</si>
  <si>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</si>
  <si>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</si>
  <si>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</si>
  <si>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</si>
  <si>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</si>
  <si>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</si>
  <si>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</si>
  <si>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</si>
  <si>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</si>
  <si>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</si>
  <si>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</si>
  <si>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</si>
  <si>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</si>
  <si>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</si>
  <si>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</si>
  <si>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</si>
  <si>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</si>
  <si>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</si>
  <si>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</si>
  <si>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</si>
  <si>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</si>
  <si>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</si>
  <si>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</si>
  <si>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</si>
  <si>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</si>
  <si>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</si>
  <si>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</si>
  <si>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</si>
  <si>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</si>
  <si>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</si>
  <si>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</si>
  <si>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</si>
  <si>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</si>
  <si>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</si>
  <si>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</si>
  <si>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</si>
  <si>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</si>
  <si>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</si>
  <si>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</si>
  <si>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</si>
  <si>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</si>
  <si>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</si>
  <si>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</si>
  <si>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</si>
  <si>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</si>
  <si>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</si>
  <si>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</si>
  <si>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</si>
  <si>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</si>
  <si>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</si>
  <si>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</si>
  <si>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</si>
  <si>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</si>
  <si>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</si>
  <si>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</si>
  <si>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</si>
  <si>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</si>
  <si>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</si>
  <si>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</si>
  <si>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</si>
  <si>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</si>
  <si>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</si>
  <si>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</si>
  <si>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</si>
  <si>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</si>
  <si>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</si>
  <si>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</si>
  <si>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</si>
  <si>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</si>
  <si>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</si>
  <si>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</si>
  <si>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</si>
  <si>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</si>
  <si>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</si>
  <si>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</si>
  <si>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</si>
  <si>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</si>
  <si>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</si>
  <si>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</si>
  <si>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</si>
  <si>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</si>
  <si>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</si>
  <si>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</si>
  <si>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</si>
  <si>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</si>
  <si>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</si>
  <si>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</si>
  <si>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</si>
  <si>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</si>
  <si>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</si>
  <si>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</si>
  <si>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</si>
  <si>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</si>
  <si>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</si>
  <si>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</si>
  <si>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</si>
  <si>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</si>
  <si>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</si>
  <si>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</si>
  <si>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</si>
  <si>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</si>
  <si>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</si>
  <si>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</si>
  <si>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</si>
  <si>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</si>
  <si>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</si>
  <si>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</si>
  <si>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</si>
  <si>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</si>
  <si>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</si>
  <si>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</si>
  <si>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</si>
  <si>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</si>
  <si>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</si>
  <si>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</si>
  <si>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</si>
  <si>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</si>
  <si>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</si>
  <si>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</si>
  <si>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</si>
  <si>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</si>
  <si>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</si>
  <si>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</si>
  <si>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</si>
  <si>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</si>
  <si>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</si>
  <si>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</si>
  <si>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</si>
  <si>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</si>
  <si>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</si>
  <si>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</si>
  <si>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</si>
  <si>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</si>
  <si>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</si>
  <si>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</si>
  <si>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</si>
  <si>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</si>
  <si>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</si>
  <si>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</si>
  <si>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</si>
  <si>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</si>
  <si>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</si>
  <si>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</si>
  <si>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</si>
  <si>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</si>
  <si>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</si>
  <si>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</si>
  <si>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</si>
  <si>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</si>
  <si>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</si>
  <si>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</si>
  <si>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</si>
  <si>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</si>
  <si>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</si>
  <si>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</si>
  <si>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</si>
  <si>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</si>
  <si>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</si>
  <si>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</si>
  <si>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</si>
  <si>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</si>
  <si>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</si>
  <si>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</si>
  <si>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</si>
  <si>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</si>
  <si>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</si>
  <si>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</si>
  <si>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</si>
  <si>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</si>
  <si>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</si>
  <si>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</si>
  <si>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</si>
  <si>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</si>
  <si>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</si>
  <si>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</si>
  <si>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</si>
  <si>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</si>
  <si>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</si>
  <si>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</si>
  <si>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</si>
  <si>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</si>
  <si>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</si>
  <si>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</si>
  <si>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</si>
  <si>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</si>
  <si>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</si>
  <si>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</si>
  <si>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</si>
  <si>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</si>
  <si>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</si>
  <si>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</si>
  <si>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</si>
  <si>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</si>
  <si>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</si>
  <si>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</si>
  <si>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</si>
  <si>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</si>
  <si>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</si>
  <si>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</si>
  <si>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</si>
  <si>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</si>
  <si>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</si>
  <si>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</si>
  <si>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</si>
  <si>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</si>
  <si>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</si>
  <si>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</si>
  <si>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</si>
  <si>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</si>
  <si>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</si>
  <si>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</si>
  <si>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</si>
  <si>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</si>
  <si>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</si>
  <si>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</si>
  <si>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</si>
  <si>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</si>
  <si>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</si>
  <si>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</si>
  <si>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</si>
  <si>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</si>
  <si>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</si>
  <si>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</si>
  <si>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</si>
  <si>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</si>
  <si>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</si>
  <si>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</si>
  <si>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</si>
  <si>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</si>
  <si>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</si>
  <si>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</si>
  <si>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</si>
  <si>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</si>
  <si>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</si>
  <si>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</si>
  <si>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</si>
  <si>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</si>
  <si>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</si>
  <si>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</si>
  <si>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</si>
  <si>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</si>
  <si>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</si>
  <si>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</si>
  <si>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</si>
  <si>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</si>
  <si>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</si>
  <si>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</si>
  <si>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</si>
  <si>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</si>
  <si>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</si>
  <si>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</si>
  <si>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</si>
  <si>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</si>
  <si>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</si>
  <si>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</si>
  <si>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</si>
  <si>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</si>
  <si>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</si>
  <si>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</si>
  <si>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</si>
  <si>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</si>
  <si>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</si>
  <si>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</si>
  <si>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</si>
  <si>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</si>
  <si>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</si>
  <si>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</si>
  <si>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</si>
  <si>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</si>
  <si>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</si>
  <si>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</si>
  <si>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</si>
  <si>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</si>
  <si>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</si>
  <si>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</si>
  <si>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</si>
  <si>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</si>
  <si>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</si>
  <si>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</si>
  <si>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</si>
  <si>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</si>
  <si>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</si>
  <si>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</si>
  <si>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</si>
  <si>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</si>
  <si>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</si>
  <si>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</si>
  <si>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</si>
  <si>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</si>
  <si>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</si>
  <si>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</si>
  <si>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</si>
  <si>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</si>
  <si>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</si>
  <si>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</si>
  <si>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</si>
  <si>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</si>
  <si>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</si>
  <si>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</si>
  <si>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</si>
  <si>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</si>
  <si>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</si>
  <si>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</si>
  <si>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</si>
  <si>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</si>
  <si>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</si>
  <si>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</si>
  <si>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</si>
  <si>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</si>
  <si>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</si>
  <si>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</si>
  <si>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</si>
  <si>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</si>
  <si>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</si>
  <si>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</si>
  <si>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</si>
  <si>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</si>
  <si>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</si>
  <si>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</si>
  <si>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</si>
  <si>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</si>
  <si>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</si>
  <si>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</si>
  <si>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</si>
  <si>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</si>
  <si>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</si>
  <si>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</si>
  <si>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</si>
  <si>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</si>
  <si>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</si>
  <si>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</si>
  <si>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</si>
  <si>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</si>
  <si>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</si>
  <si>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</si>
  <si>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</si>
  <si>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</si>
  <si>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</si>
  <si>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</si>
  <si>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</si>
  <si>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</si>
  <si>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</si>
  <si>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</si>
  <si>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</si>
  <si>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</si>
  <si>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</si>
  <si>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</si>
  <si>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</si>
  <si>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</si>
  <si>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</si>
  <si>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</si>
  <si>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</si>
  <si>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</si>
  <si>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</si>
  <si>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</si>
  <si>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</si>
  <si>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</si>
  <si>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</si>
  <si>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</si>
  <si>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</si>
  <si>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</si>
  <si>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</si>
  <si>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</si>
  <si>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</si>
  <si>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</si>
  <si>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</si>
  <si>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</si>
  <si>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</si>
  <si>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</si>
  <si>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</si>
  <si>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</si>
  <si>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</si>
  <si>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</si>
  <si>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</si>
  <si>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</si>
  <si>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</si>
  <si>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</si>
  <si>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</si>
  <si>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</si>
  <si>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</si>
  <si>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</si>
  <si>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</si>
  <si>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</si>
  <si>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</si>
  <si>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</si>
  <si>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</si>
  <si>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</si>
  <si>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</si>
  <si>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</si>
  <si>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</si>
  <si>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</si>
  <si>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</si>
  <si>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</si>
  <si>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</si>
  <si>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</si>
  <si>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</si>
  <si>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</si>
  <si>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</si>
  <si>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</si>
  <si>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</si>
  <si>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</si>
  <si>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</si>
  <si>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</si>
  <si>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</si>
  <si>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</si>
  <si>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</si>
  <si>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</si>
  <si>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</si>
  <si>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</si>
  <si>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</si>
  <si>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</si>
  <si>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</si>
  <si>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</si>
  <si>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</si>
  <si>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</si>
  <si>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</si>
  <si>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</si>
  <si>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</si>
  <si>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</si>
  <si>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</si>
  <si>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</si>
  <si>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</si>
  <si>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</si>
  <si>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</si>
  <si>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</si>
  <si>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</si>
  <si>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</si>
  <si>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</si>
  <si>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</si>
  <si>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</si>
  <si>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</si>
  <si>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</si>
  <si>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</si>
  <si>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</si>
  <si>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</si>
  <si>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</si>
  <si>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</si>
  <si>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</si>
  <si>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</si>
  <si>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</si>
  <si>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</si>
  <si>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</si>
  <si>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</si>
  <si>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</si>
  <si>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</si>
  <si>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</si>
  <si>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</si>
  <si>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</si>
  <si>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</si>
  <si>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</si>
  <si>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</si>
  <si>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</si>
  <si>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</si>
  <si>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</si>
  <si>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</si>
  <si>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</si>
  <si>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</si>
  <si>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</si>
  <si>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</si>
  <si>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</si>
  <si>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</si>
  <si>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</si>
  <si>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</si>
  <si>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</si>
  <si>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</si>
  <si>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</si>
  <si>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</si>
  <si>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</si>
  <si>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</si>
  <si>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</si>
  <si>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</si>
  <si>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</si>
  <si>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</si>
  <si>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</si>
  <si>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</si>
  <si>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</si>
  <si>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</si>
  <si>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</si>
  <si>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</si>
  <si>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</si>
  <si>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</si>
  <si>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</si>
  <si>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</si>
  <si>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</si>
  <si>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</si>
  <si>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</si>
  <si>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</si>
  <si>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</si>
  <si>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</si>
  <si>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</si>
  <si>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</si>
  <si>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</si>
  <si>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</si>
  <si>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</si>
  <si>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</si>
  <si>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</si>
  <si>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</si>
  <si>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</si>
  <si>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</si>
  <si>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</si>
  <si>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</si>
  <si>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</si>
  <si>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</si>
  <si>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</si>
  <si>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</si>
  <si>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</si>
  <si>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</si>
  <si>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</si>
  <si>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</si>
  <si>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</si>
  <si>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</si>
  <si>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</si>
  <si>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</si>
  <si>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</si>
  <si>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</si>
  <si>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</si>
  <si>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</si>
  <si>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</si>
  <si>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</si>
  <si>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</si>
  <si>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</si>
  <si>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</si>
  <si>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</si>
  <si>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</si>
  <si>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</si>
  <si>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</si>
  <si>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</si>
  <si>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</si>
  <si>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</si>
  <si>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</si>
  <si>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</si>
  <si>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</si>
  <si>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</si>
  <si>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</si>
  <si>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</si>
  <si>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</si>
  <si>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</si>
  <si>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</si>
  <si>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</si>
  <si>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</si>
  <si>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</si>
  <si>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</si>
  <si>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</si>
  <si>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</si>
  <si>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</si>
  <si>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</si>
  <si>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</si>
  <si>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</si>
  <si>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</si>
  <si>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</si>
  <si>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</si>
  <si>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</si>
  <si>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</si>
  <si>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</si>
  <si>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</si>
  <si>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</si>
  <si>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</si>
  <si>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</si>
  <si>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</si>
  <si>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</si>
  <si>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</si>
  <si>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</si>
  <si>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</si>
  <si>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</si>
  <si>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</si>
  <si>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</si>
  <si>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</si>
  <si>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</si>
  <si>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</si>
  <si>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</si>
  <si>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</si>
  <si>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</si>
  <si>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</si>
  <si>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</si>
  <si>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</si>
  <si>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</si>
  <si>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</si>
  <si>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</si>
  <si>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</si>
  <si>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</si>
  <si>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</si>
  <si>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</si>
  <si>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</si>
  <si>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</si>
  <si>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</si>
  <si>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</si>
  <si>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</si>
  <si>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</si>
  <si>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</si>
  <si>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</si>
  <si>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</si>
  <si>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</si>
  <si>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</si>
  <si>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</si>
  <si>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</si>
  <si>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</si>
  <si>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</si>
  <si>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</si>
  <si>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</si>
  <si>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</si>
  <si>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</si>
  <si>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</si>
  <si>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</si>
  <si>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</si>
  <si>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</si>
  <si>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</si>
  <si>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</si>
  <si>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</si>
  <si>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</si>
  <si>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</si>
  <si>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</si>
  <si>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</si>
  <si>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</si>
  <si>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</si>
  <si>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</si>
  <si>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</si>
  <si>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</si>
  <si>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</si>
  <si>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</si>
  <si>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</si>
  <si>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</si>
  <si>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</si>
  <si>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</si>
  <si>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</si>
  <si>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</si>
  <si>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</si>
  <si>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</si>
  <si>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</si>
  <si>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</si>
  <si>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</si>
  <si>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</si>
  <si>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</si>
  <si>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</si>
  <si>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</si>
  <si>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</si>
  <si>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</si>
  <si>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</si>
  <si>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</si>
  <si>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</si>
  <si>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</si>
  <si>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</si>
  <si>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</si>
  <si>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</si>
  <si>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</si>
  <si>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</si>
  <si>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</si>
  <si>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</si>
  <si>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</si>
  <si>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</si>
  <si>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</si>
  <si>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</si>
  <si>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</si>
  <si>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</si>
  <si>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</si>
  <si>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</si>
  <si>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</si>
  <si>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</si>
  <si>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</si>
  <si>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</si>
  <si>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</si>
  <si>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</si>
  <si>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</si>
  <si>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</si>
  <si>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</si>
  <si>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</si>
  <si>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</si>
  <si>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</si>
  <si>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</si>
  <si>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</si>
  <si>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</si>
  <si>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</si>
  <si>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</si>
  <si>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</si>
  <si>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</si>
  <si>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</si>
  <si>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</si>
  <si>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</si>
  <si>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</si>
  <si>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</si>
  <si>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</si>
  <si>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</si>
  <si>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</si>
  <si>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</si>
  <si>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</si>
  <si>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</si>
  <si>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</si>
  <si>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</si>
  <si>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</si>
  <si>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</si>
  <si>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</si>
  <si>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</si>
  <si>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</si>
  <si>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</si>
  <si>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</si>
  <si>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</si>
  <si>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</si>
  <si>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</si>
  <si>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</si>
  <si>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</si>
  <si>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</si>
  <si>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</si>
  <si>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</si>
  <si>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</si>
  <si>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</si>
  <si>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</si>
  <si>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</si>
  <si>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</si>
  <si>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</si>
  <si>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</si>
  <si>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</si>
  <si>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</si>
  <si>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</si>
  <si>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</si>
  <si>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</si>
  <si>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</si>
  <si>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</si>
  <si>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</si>
  <si>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</si>
  <si>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</si>
  <si>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</si>
  <si>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</si>
  <si>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</si>
  <si>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</si>
  <si>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</si>
  <si>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</si>
  <si>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</si>
  <si>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</si>
  <si>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</si>
  <si>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</si>
  <si>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</si>
  <si>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</si>
  <si>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</si>
  <si>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</si>
  <si>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</si>
  <si>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</si>
  <si>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</si>
  <si>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</si>
  <si>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</si>
  <si>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</si>
  <si>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</si>
  <si>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</si>
  <si>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</si>
  <si>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</si>
  <si>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</si>
  <si>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</si>
  <si>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</si>
  <si>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</si>
  <si>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</si>
  <si>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</si>
  <si>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</si>
  <si>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</si>
  <si>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</si>
  <si>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</si>
  <si>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</si>
  <si>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</si>
  <si>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</si>
  <si>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</si>
  <si>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</si>
  <si>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</si>
  <si>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</si>
  <si>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</si>
  <si>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</si>
  <si>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</si>
  <si>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</si>
  <si>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</si>
  <si>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</si>
  <si>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</si>
  <si>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</si>
  <si>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</si>
  <si>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</si>
  <si>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</si>
  <si>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</si>
  <si>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</si>
  <si>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</si>
  <si>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</si>
  <si>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</si>
  <si>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</si>
  <si>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</si>
  <si>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</si>
  <si>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</si>
  <si>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</si>
  <si>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</si>
  <si>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</si>
  <si>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</si>
  <si>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</si>
  <si>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</si>
  <si>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</si>
  <si>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</si>
  <si>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</si>
  <si>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</si>
  <si>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</si>
  <si>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</si>
  <si>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</si>
  <si>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</si>
  <si>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</si>
  <si>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</si>
  <si>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</si>
  <si>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</si>
  <si>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</si>
  <si>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</si>
  <si>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</si>
  <si>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</si>
  <si>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</si>
  <si>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</si>
  <si>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</si>
  <si>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</si>
  <si>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</si>
  <si>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</si>
  <si>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</si>
  <si>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</si>
  <si>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</si>
  <si>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</si>
  <si>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</si>
  <si>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</si>
  <si>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</si>
  <si>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</si>
  <si>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</si>
  <si>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</si>
  <si>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</si>
  <si>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</si>
  <si>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</si>
  <si>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</si>
  <si>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</si>
  <si>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</si>
  <si>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</si>
  <si>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</si>
  <si>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</si>
  <si>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</si>
  <si>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</si>
  <si>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</si>
  <si>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</si>
  <si>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</si>
  <si>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</si>
  <si>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</si>
  <si>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</si>
  <si>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</si>
  <si>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</si>
  <si>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</si>
  <si>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</si>
  <si>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</si>
  <si>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</si>
  <si>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</si>
  <si>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</si>
  <si>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</si>
  <si>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</si>
  <si>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</si>
  <si>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</si>
  <si>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</si>
  <si>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</si>
  <si>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</si>
  <si>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</si>
  <si>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</si>
  <si>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</si>
  <si>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</si>
  <si>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</si>
  <si>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</si>
  <si>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</si>
  <si>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</si>
  <si>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</si>
  <si>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</si>
  <si>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</si>
  <si>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</si>
  <si>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</si>
  <si>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</si>
  <si>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</si>
  <si>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</si>
  <si>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</si>
  <si>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</si>
  <si>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</si>
  <si>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</si>
  <si>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</si>
  <si>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</si>
  <si>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</si>
  <si>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</si>
  <si>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</si>
  <si>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</si>
  <si>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</si>
  <si>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</si>
  <si>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</si>
  <si>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</si>
  <si>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</si>
  <si>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</si>
  <si>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</si>
  <si>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</si>
  <si>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</si>
  <si>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</si>
  <si>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</si>
  <si>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</si>
  <si>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</si>
  <si>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</si>
  <si>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</si>
  <si>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</si>
  <si>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</si>
  <si>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</si>
  <si>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</si>
  <si>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</si>
  <si>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</si>
  <si>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</si>
  <si>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</si>
  <si>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</si>
  <si>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</si>
  <si>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</si>
  <si>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</si>
  <si>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</si>
  <si>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</si>
  <si>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</si>
  <si>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</si>
  <si>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</si>
  <si>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</si>
  <si>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</si>
  <si>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</si>
  <si>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</si>
  <si>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</si>
  <si>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</si>
  <si>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</si>
  <si>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</si>
  <si>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</si>
  <si>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</si>
  <si>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</si>
  <si>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</si>
  <si>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</si>
  <si>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</si>
  <si>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</si>
  <si>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</si>
  <si>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</si>
  <si>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</si>
  <si>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</si>
  <si>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</si>
  <si>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</si>
  <si>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</si>
  <si>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</si>
  <si>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</si>
  <si>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</si>
  <si>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</si>
  <si>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</si>
  <si>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</si>
  <si>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</si>
  <si>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</si>
  <si>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</si>
  <si>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</si>
  <si>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</si>
  <si>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</si>
  <si>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</si>
  <si>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</si>
  <si>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</si>
  <si>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</si>
  <si>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</si>
  <si>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</si>
  <si>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</si>
  <si>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</si>
  <si>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</si>
  <si>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</si>
  <si>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</si>
  <si>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</si>
  <si>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</si>
  <si>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</si>
  <si>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</si>
  <si>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</si>
  <si>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</si>
  <si>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</si>
  <si>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</si>
  <si>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</si>
  <si>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</si>
  <si>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</si>
  <si>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</si>
  <si>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</si>
  <si>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</si>
  <si>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</si>
  <si>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</si>
  <si>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</si>
  <si>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</si>
  <si>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</si>
  <si>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</si>
  <si>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</si>
  <si>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</si>
  <si>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</si>
  <si>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</si>
  <si>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</si>
  <si>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</si>
  <si>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</si>
  <si>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</si>
  <si>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</si>
  <si>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</si>
  <si>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</si>
  <si>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</si>
  <si>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</si>
  <si>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</si>
  <si>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</si>
  <si>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</si>
  <si>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</si>
  <si>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</si>
  <si>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</si>
  <si>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</si>
  <si>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</si>
  <si>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</si>
  <si>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</si>
  <si>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</si>
  <si>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</si>
  <si>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</si>
  <si>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</si>
  <si>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</si>
  <si>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</si>
  <si>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</si>
  <si>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</si>
  <si>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</si>
  <si>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</si>
  <si>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</si>
  <si>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</si>
  <si>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</si>
  <si>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</si>
  <si>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</si>
  <si>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</si>
  <si>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</si>
  <si>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</si>
  <si>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</si>
  <si>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</si>
  <si>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</si>
  <si>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</si>
  <si>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</si>
  <si>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</si>
  <si>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</si>
  <si>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</si>
  <si>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</si>
  <si>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</si>
  <si>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</si>
  <si>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</si>
  <si>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</si>
  <si>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</si>
  <si>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</si>
  <si>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</si>
  <si>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</si>
  <si>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</si>
  <si>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</si>
  <si>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</si>
  <si>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</si>
  <si>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</si>
  <si>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</si>
  <si>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</si>
  <si>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</si>
  <si>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</si>
  <si>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</si>
  <si>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</si>
  <si>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</si>
  <si>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</si>
  <si>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</si>
  <si>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</si>
  <si>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</si>
  <si>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</si>
  <si>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</si>
  <si>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</si>
  <si>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</si>
  <si>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</si>
  <si>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</si>
  <si>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</si>
  <si>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</si>
  <si>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</si>
  <si>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</si>
  <si>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</si>
  <si>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</si>
  <si>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</si>
  <si>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</si>
  <si>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</si>
  <si>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</si>
  <si>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</si>
  <si>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</si>
  <si>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</si>
  <si>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</si>
  <si>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</si>
  <si>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</si>
  <si>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</si>
  <si>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</si>
  <si>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</si>
  <si>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</si>
  <si>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</si>
  <si>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</si>
  <si>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</si>
  <si>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</si>
  <si>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</si>
  <si>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</si>
  <si>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</si>
  <si>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</si>
  <si>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</si>
  <si>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</si>
  <si>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</si>
  <si>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</si>
  <si>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</si>
  <si>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</si>
  <si>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</si>
  <si>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</si>
  <si>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</si>
  <si>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</si>
  <si>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</si>
  <si>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</si>
  <si>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</si>
  <si>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</si>
  <si>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</si>
  <si>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</si>
  <si>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</si>
  <si>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</si>
  <si>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</si>
  <si>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</si>
  <si>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</si>
  <si>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</si>
  <si>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</si>
  <si>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</si>
  <si>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</si>
  <si>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</si>
  <si>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</si>
  <si>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</si>
  <si>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</si>
  <si>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</si>
  <si>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</si>
  <si>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</si>
  <si>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</si>
  <si>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</si>
  <si>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</si>
  <si>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</si>
  <si>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</si>
  <si>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</si>
  <si>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</si>
  <si>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</si>
  <si>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</si>
  <si>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</si>
  <si>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</si>
  <si>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</si>
  <si>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</si>
  <si>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</si>
  <si>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</si>
  <si>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</si>
  <si>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</si>
  <si>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</si>
  <si>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</si>
  <si>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</si>
  <si>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</si>
  <si>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</si>
  <si>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</si>
  <si>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</si>
  <si>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</si>
  <si>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</si>
  <si>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</si>
  <si>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</si>
  <si>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</si>
  <si>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</si>
  <si>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</si>
  <si>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</si>
  <si>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</si>
  <si>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</si>
  <si>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</si>
  <si>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</si>
  <si>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</si>
  <si>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</si>
  <si>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</si>
  <si>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</si>
  <si>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</si>
  <si>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</si>
  <si>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</si>
  <si>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</si>
  <si>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</si>
  <si>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</si>
  <si>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</si>
  <si>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</si>
  <si>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</si>
  <si>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</si>
  <si>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</si>
  <si>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</si>
  <si>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</si>
  <si>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</si>
  <si>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</si>
  <si>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</si>
  <si>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</si>
  <si>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</si>
  <si>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</si>
  <si>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</si>
  <si>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</si>
  <si>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</si>
  <si>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</si>
  <si>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</si>
  <si>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</si>
  <si>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</si>
  <si>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</si>
  <si>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</si>
  <si>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</si>
  <si>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</si>
  <si>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</si>
  <si>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</si>
  <si>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</si>
  <si>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</si>
  <si>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</si>
  <si>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</si>
  <si>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</si>
  <si>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</si>
  <si>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</si>
  <si>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</si>
  <si>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</si>
  <si>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</si>
  <si>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</si>
  <si>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</si>
  <si>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</si>
  <si>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</si>
  <si>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</si>
  <si>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</si>
  <si>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</si>
  <si>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</si>
  <si>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</si>
  <si>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</si>
  <si>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</si>
  <si>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</si>
  <si>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</si>
  <si>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</si>
  <si>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</si>
  <si>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</si>
  <si>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</si>
  <si>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</si>
  <si>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</si>
  <si>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</si>
  <si>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</si>
  <si>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</si>
  <si>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</si>
  <si>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</si>
  <si>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</si>
  <si>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</si>
  <si>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</si>
  <si>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</si>
  <si>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</si>
  <si>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</si>
  <si>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</si>
  <si>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</si>
  <si>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</si>
  <si>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</si>
  <si>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</si>
  <si>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</si>
  <si>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</si>
  <si>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</si>
  <si>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</si>
  <si>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</si>
  <si>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</si>
  <si>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</si>
  <si>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</si>
  <si>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</si>
  <si>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</si>
  <si>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</si>
  <si>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</si>
  <si>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</si>
  <si>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</si>
  <si>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</si>
  <si>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</si>
  <si>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</si>
  <si>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</si>
  <si>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</si>
  <si>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</si>
  <si>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</si>
  <si>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</si>
  <si>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</si>
  <si>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</si>
  <si>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</si>
  <si>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</si>
  <si>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</si>
  <si>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</si>
  <si>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</si>
  <si>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</si>
  <si>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</si>
  <si>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</si>
  <si>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</si>
  <si>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</si>
  <si>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</si>
  <si>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</si>
  <si>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</si>
  <si>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</si>
  <si>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</si>
  <si>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</si>
  <si>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</si>
  <si>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</si>
  <si>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</si>
  <si>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</si>
  <si>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</si>
  <si>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</si>
  <si>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</si>
  <si>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</si>
  <si>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</si>
  <si>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</si>
  <si>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</si>
  <si>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</si>
  <si>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</si>
  <si>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</si>
  <si>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</si>
  <si>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</si>
  <si>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</si>
  <si>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</si>
  <si>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</si>
  <si>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</si>
  <si>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</si>
  <si>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</si>
  <si>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</si>
  <si>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</si>
  <si>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</si>
  <si>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</si>
  <si>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</si>
  <si>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</si>
  <si>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</si>
  <si>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</si>
  <si>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</si>
  <si>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</si>
  <si>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</si>
  <si>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</si>
  <si>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</si>
  <si>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</si>
  <si>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</si>
  <si>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</si>
  <si>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</si>
  <si>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</si>
  <si>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</si>
  <si>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</si>
  <si>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</si>
  <si>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</si>
  <si>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</si>
  <si>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</si>
  <si>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</si>
  <si>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</si>
  <si>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</si>
  <si>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</si>
  <si>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</si>
  <si>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</si>
  <si>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</si>
  <si>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</si>
  <si>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</si>
  <si>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</si>
  <si>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</si>
  <si>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</si>
  <si>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</si>
  <si>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</si>
  <si>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</si>
  <si>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</si>
  <si>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</si>
  <si>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</si>
  <si>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</si>
  <si>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</si>
  <si>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</si>
  <si>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</si>
  <si>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</si>
  <si>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</si>
  <si>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</si>
  <si>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</si>
  <si>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</si>
  <si>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</si>
  <si>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</si>
  <si>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</si>
  <si>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</si>
  <si>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</si>
  <si>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</si>
  <si>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</si>
  <si>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</si>
  <si>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</si>
  <si>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</si>
  <si>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</si>
  <si>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</si>
  <si>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</si>
  <si>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</si>
  <si>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</si>
  <si>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</si>
  <si>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</si>
  <si>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</si>
  <si>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</si>
  <si>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</si>
  <si>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</si>
  <si>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</si>
  <si>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</si>
  <si>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</si>
  <si>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</si>
  <si>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</si>
  <si>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</si>
  <si>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</si>
  <si>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</si>
  <si>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</si>
  <si>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</si>
  <si>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</si>
  <si>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</si>
  <si>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</si>
  <si>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</si>
  <si>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</si>
  <si>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</si>
  <si>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</si>
  <si>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</si>
  <si>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</si>
  <si>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</si>
  <si>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</si>
  <si>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</si>
  <si>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</si>
  <si>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</si>
  <si>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</si>
  <si>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</si>
  <si>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</si>
  <si>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</si>
  <si>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</si>
  <si>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</si>
  <si>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</si>
  <si>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</si>
  <si>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</si>
  <si>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</si>
  <si>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</si>
  <si>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</si>
  <si>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</si>
  <si>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</si>
  <si>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</si>
  <si>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</si>
  <si>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</si>
  <si>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</si>
  <si>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</si>
  <si>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</si>
  <si>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</si>
  <si>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</si>
  <si>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</si>
  <si>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</si>
  <si>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</si>
  <si>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</si>
  <si>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</si>
  <si>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</si>
  <si>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</si>
  <si>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</si>
  <si>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</si>
  <si>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</si>
  <si>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</si>
  <si>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</si>
  <si>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</si>
  <si>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</si>
  <si>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</si>
  <si>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</si>
  <si>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</si>
  <si>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</si>
  <si>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</si>
  <si>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</si>
  <si>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</si>
  <si>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</si>
  <si>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</si>
  <si>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</si>
  <si>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</si>
  <si>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</si>
  <si>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</si>
  <si>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</si>
  <si>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</si>
  <si>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</si>
  <si>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</si>
  <si>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</si>
  <si>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</si>
  <si>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</si>
  <si>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</si>
  <si>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</si>
  <si>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</si>
  <si>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</si>
  <si>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</si>
  <si>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</si>
  <si>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</si>
  <si>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</si>
  <si>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</si>
  <si>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</si>
  <si>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</si>
  <si>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</si>
  <si>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</si>
  <si>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</si>
  <si>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</si>
  <si>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</si>
  <si>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</si>
  <si>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</si>
  <si>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</si>
  <si>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</si>
  <si>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</si>
  <si>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</si>
  <si>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</si>
  <si>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</si>
  <si>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</si>
  <si>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</si>
  <si>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</si>
  <si>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</si>
  <si>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</si>
  <si>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</si>
  <si>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</si>
  <si>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</si>
  <si>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</si>
  <si>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</si>
  <si>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</si>
  <si>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</si>
  <si>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</si>
  <si>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</si>
  <si>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</si>
  <si>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</si>
  <si>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</si>
  <si>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</si>
  <si>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</si>
  <si>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</si>
  <si>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</si>
  <si>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</si>
  <si>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</si>
  <si>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</si>
  <si>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</si>
  <si>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</si>
  <si>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</si>
  <si>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</si>
  <si>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</si>
  <si>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</si>
  <si>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</si>
  <si>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</si>
  <si>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</si>
  <si>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</si>
  <si>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</si>
  <si>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</si>
  <si>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</si>
  <si>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</si>
  <si>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</si>
  <si>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</si>
  <si>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</si>
  <si>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</si>
  <si>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</si>
  <si>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</si>
  <si>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</si>
  <si>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</si>
  <si>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</si>
  <si>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</si>
  <si>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</si>
  <si>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</si>
  <si>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</si>
  <si>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</si>
  <si>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</si>
  <si>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</si>
  <si>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</si>
  <si>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</si>
  <si>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</si>
  <si>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</si>
  <si>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</si>
  <si>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</si>
  <si>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</si>
  <si>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</si>
  <si>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</si>
  <si>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</si>
  <si>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</si>
  <si>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</si>
  <si>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</si>
  <si>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</si>
  <si>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</si>
  <si>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</si>
  <si>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</si>
  <si>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</si>
  <si>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</si>
  <si>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</si>
  <si>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</si>
  <si>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</si>
  <si>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</si>
  <si>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</si>
  <si>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</si>
  <si>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</si>
  <si>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</si>
  <si>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</si>
  <si>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</si>
  <si>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</si>
  <si>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</si>
  <si>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</si>
  <si>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</si>
  <si>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</si>
  <si>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</si>
  <si>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</si>
  <si>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</si>
  <si>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</si>
  <si>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</si>
  <si>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</si>
  <si>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</si>
  <si>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</si>
  <si>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</si>
  <si>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</si>
  <si>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</si>
  <si>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</si>
  <si>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</si>
  <si>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</si>
  <si>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</si>
  <si>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</si>
  <si>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</si>
  <si>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</si>
  <si>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</si>
  <si>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</si>
  <si>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</si>
  <si>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</si>
  <si>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</si>
  <si>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</si>
  <si>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</si>
  <si>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</si>
  <si>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</si>
  <si>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</si>
  <si>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</si>
  <si>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</si>
  <si>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</si>
  <si>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</si>
  <si>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</si>
  <si>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</si>
  <si>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</si>
  <si>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</si>
  <si>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</si>
  <si>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</si>
  <si>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</si>
  <si>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</si>
  <si>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</si>
  <si>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</si>
  <si>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</si>
  <si>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</si>
  <si>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</si>
  <si>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</si>
  <si>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</si>
  <si>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</si>
  <si>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</si>
  <si>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</si>
  <si>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</si>
  <si>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</si>
  <si>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</si>
  <si>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</si>
  <si>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</si>
  <si>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</si>
  <si>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</si>
  <si>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</si>
  <si>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</si>
  <si>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</si>
  <si>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</si>
  <si>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</si>
  <si>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</si>
  <si>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</si>
  <si>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</si>
  <si>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</si>
  <si>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</si>
  <si>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</si>
  <si>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</si>
  <si>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</si>
  <si>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</si>
  <si>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</si>
  <si>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</si>
  <si>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</si>
  <si>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</si>
  <si>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</si>
  <si>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</si>
  <si>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</si>
  <si>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</si>
  <si>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</si>
  <si>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</si>
  <si>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</si>
  <si>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</si>
  <si>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</si>
  <si>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</si>
  <si>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</si>
  <si>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</si>
  <si>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</si>
  <si>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</si>
  <si>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</si>
  <si>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</si>
  <si>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</si>
  <si>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</si>
  <si>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</si>
  <si>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</si>
  <si>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</si>
  <si>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</si>
  <si>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</si>
  <si>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</si>
  <si>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</si>
  <si>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</si>
  <si>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</si>
  <si>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</si>
  <si>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</si>
  <si>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</si>
  <si>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</si>
  <si>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</si>
  <si>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</si>
  <si>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</si>
  <si>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</si>
  <si>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</si>
  <si>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</si>
  <si>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</si>
  <si>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</si>
  <si>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</si>
  <si>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</si>
  <si>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</si>
  <si>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</si>
  <si>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</si>
  <si>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</si>
  <si>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</si>
  <si>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</si>
  <si>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</si>
  <si>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</si>
  <si>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</si>
  <si>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</si>
  <si>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</si>
  <si>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</si>
  <si>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</si>
  <si>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</si>
  <si>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</si>
  <si>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</si>
  <si>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</si>
  <si>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</si>
  <si>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</si>
  <si>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</si>
  <si>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</si>
  <si>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</si>
  <si>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</si>
  <si>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</si>
  <si>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</si>
  <si>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</si>
  <si>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</si>
  <si>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</si>
  <si>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</si>
  <si>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</si>
  <si>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</si>
  <si>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</si>
  <si>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</si>
  <si>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</si>
  <si>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</si>
  <si>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</si>
  <si>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</si>
  <si>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</si>
  <si>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</si>
  <si>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</si>
  <si>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</si>
  <si>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</si>
  <si>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</si>
  <si>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</si>
  <si>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</si>
  <si>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</si>
  <si>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</si>
  <si>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</si>
  <si>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</si>
  <si>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</si>
  <si>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</si>
  <si>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</si>
  <si>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</si>
  <si>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</si>
  <si>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</si>
  <si>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</si>
  <si>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</si>
  <si>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</si>
  <si>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</si>
  <si>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</si>
  <si>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</si>
  <si>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</si>
  <si>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</si>
  <si>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</si>
  <si>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</si>
  <si>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</si>
  <si>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</si>
  <si>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</si>
  <si>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</si>
  <si>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</si>
  <si>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</si>
  <si>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</si>
  <si>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</si>
  <si>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</si>
  <si>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</si>
  <si>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</si>
  <si>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</si>
  <si>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</si>
  <si>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</si>
  <si>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</si>
  <si>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</si>
  <si>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</si>
  <si>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</si>
  <si>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</si>
  <si>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</si>
  <si>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</si>
  <si>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</si>
  <si>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</si>
  <si>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</si>
  <si>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</si>
  <si>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</si>
  <si>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</si>
  <si>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</si>
  <si>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</si>
  <si>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</si>
  <si>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</si>
  <si>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</si>
  <si>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</si>
  <si>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</si>
  <si>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</si>
  <si>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</si>
  <si>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</si>
  <si>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</si>
  <si>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</si>
  <si>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</si>
  <si>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</si>
  <si>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</si>
  <si>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</si>
  <si>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</si>
  <si>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</si>
  <si>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</si>
  <si>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</si>
  <si>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</si>
  <si>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</si>
  <si>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</si>
  <si>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</si>
  <si>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</si>
  <si>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</si>
  <si>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</si>
  <si>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</si>
  <si>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</si>
  <si>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</si>
  <si>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</si>
  <si>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</si>
  <si>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</si>
  <si>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</si>
  <si>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</si>
  <si>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</si>
  <si>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</si>
  <si>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</si>
  <si>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</si>
  <si>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</si>
  <si>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</si>
  <si>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</si>
  <si>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</si>
  <si>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</si>
  <si>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</si>
  <si>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</si>
  <si>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</si>
  <si>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</si>
  <si>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</si>
  <si>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</si>
  <si>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</si>
  <si>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</si>
  <si>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</si>
  <si>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</si>
  <si>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</si>
  <si>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</si>
  <si>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</si>
  <si>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</si>
  <si>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</si>
  <si>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</si>
  <si>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</si>
  <si>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</si>
  <si>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</si>
  <si>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</si>
  <si>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</si>
  <si>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</si>
  <si>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</si>
  <si>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</si>
  <si>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</si>
  <si>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</si>
  <si>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</si>
  <si>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</si>
  <si>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</si>
  <si>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</si>
  <si>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</si>
  <si>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</si>
  <si>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</si>
  <si>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</si>
  <si>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</si>
  <si>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</si>
  <si>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</si>
  <si>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</si>
  <si>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</si>
  <si>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</si>
  <si>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</si>
  <si>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</si>
  <si>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</si>
  <si>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</si>
  <si>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</si>
  <si>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</si>
  <si>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</si>
  <si>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</si>
  <si>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</si>
  <si>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</si>
  <si>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</si>
  <si>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</si>
  <si>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</si>
  <si>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</si>
  <si>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</si>
  <si>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</si>
  <si>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</si>
  <si>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</si>
  <si>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</si>
  <si>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</si>
  <si>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</si>
  <si>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</si>
  <si>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</si>
  <si>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</si>
  <si>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</si>
  <si>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</si>
  <si>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</si>
  <si>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</si>
  <si>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</si>
  <si>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</si>
  <si>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</si>
  <si>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</si>
  <si>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</si>
  <si>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</si>
  <si>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</si>
  <si>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</si>
  <si>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</si>
  <si>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</si>
  <si>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</si>
  <si>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</si>
  <si>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</si>
  <si>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</si>
  <si>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</si>
  <si>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</si>
  <si>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</si>
  <si>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</si>
  <si>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</si>
  <si>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</si>
  <si>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</si>
  <si>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</si>
  <si>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</si>
  <si>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</si>
  <si>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</si>
  <si>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</si>
  <si>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</si>
  <si>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</si>
  <si>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</si>
  <si>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</si>
  <si>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</si>
  <si>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</si>
  <si>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</si>
  <si>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</si>
  <si>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</si>
  <si>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</si>
  <si>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</si>
  <si>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</si>
  <si>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</si>
  <si>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</si>
  <si>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</si>
  <si>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</si>
  <si>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</si>
  <si>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</si>
  <si>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</si>
  <si>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</si>
  <si>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</si>
  <si>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</si>
  <si>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</si>
  <si>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</si>
  <si>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</si>
  <si>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</si>
  <si>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</si>
  <si>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</si>
  <si>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</si>
  <si>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</si>
  <si>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</si>
  <si>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</si>
  <si>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</si>
  <si>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</si>
  <si>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</si>
  <si>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</si>
  <si>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</si>
  <si>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</si>
  <si>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</si>
  <si>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</si>
  <si>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</si>
  <si>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</si>
  <si>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</si>
  <si>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</si>
  <si>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</si>
  <si>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</si>
  <si>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</si>
  <si>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</si>
  <si>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</si>
  <si>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</si>
  <si>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</si>
  <si>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</si>
  <si>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</si>
  <si>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</si>
  <si>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</si>
  <si>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</si>
  <si>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</si>
  <si>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</si>
  <si>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</si>
  <si>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</si>
  <si>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</si>
  <si>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</si>
  <si>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</si>
  <si>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</si>
  <si>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</si>
  <si>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</si>
  <si>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</si>
  <si>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</si>
  <si>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</si>
  <si>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</si>
  <si>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</si>
  <si>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</si>
  <si>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</si>
  <si>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</si>
  <si>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</si>
  <si>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</si>
  <si>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</si>
  <si>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</si>
  <si>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</si>
  <si>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</si>
  <si>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</si>
  <si>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</si>
  <si>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</si>
  <si>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</si>
  <si>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</si>
  <si>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</si>
  <si>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</si>
  <si>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</si>
  <si>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</si>
  <si>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</si>
  <si>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</si>
  <si>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</si>
  <si>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</si>
  <si>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</si>
  <si>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</si>
  <si>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</si>
  <si>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</si>
  <si>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</si>
  <si>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</si>
  <si>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</si>
  <si>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</si>
  <si>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</si>
  <si>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</si>
  <si>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</si>
  <si>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</si>
  <si>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</si>
  <si>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</si>
  <si>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</si>
  <si>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</si>
  <si>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</si>
  <si>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</si>
  <si>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</si>
  <si>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</si>
  <si>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</si>
  <si>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</si>
  <si>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</si>
  <si>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</si>
  <si>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</si>
  <si>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</si>
  <si>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</si>
  <si>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</si>
  <si>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</si>
  <si>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</si>
  <si>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</si>
  <si>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</si>
  <si>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</si>
  <si>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</si>
  <si>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</si>
  <si>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</si>
  <si>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</si>
  <si>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</si>
  <si>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</si>
  <si>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</si>
  <si>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</si>
  <si>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</si>
  <si>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</si>
  <si>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</si>
  <si>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</si>
  <si>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</si>
  <si>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</si>
  <si>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</si>
  <si>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</si>
  <si>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</si>
  <si>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</si>
  <si>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</si>
  <si>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</si>
  <si>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</si>
  <si>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</si>
  <si>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</si>
  <si>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</si>
  <si>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</si>
  <si>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</si>
  <si>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</si>
  <si>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</si>
  <si>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</si>
  <si>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</si>
  <si>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</si>
  <si>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</si>
  <si>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</si>
  <si>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</si>
  <si>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</si>
  <si>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</si>
  <si>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</si>
  <si>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</si>
  <si>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</si>
  <si>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</si>
  <si>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</si>
  <si>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</si>
  <si>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</si>
  <si>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</si>
  <si>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</si>
  <si>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</si>
  <si>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</si>
  <si>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</si>
  <si>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</si>
  <si>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</si>
  <si>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</si>
  <si>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</si>
  <si>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</si>
  <si>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</si>
  <si>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</si>
  <si>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</si>
  <si>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</si>
  <si>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</si>
  <si>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</si>
  <si>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</si>
  <si>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</si>
  <si>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</si>
  <si>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</si>
  <si>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</si>
  <si>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</si>
  <si>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</si>
  <si>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</si>
  <si>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</si>
  <si>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</si>
  <si>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</si>
  <si>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</si>
  <si>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</si>
  <si>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</si>
  <si>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</si>
  <si>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</si>
  <si>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</si>
  <si>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</si>
  <si>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</si>
  <si>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</si>
  <si>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</si>
  <si>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</si>
  <si>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</si>
  <si>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</si>
  <si>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</si>
  <si>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</si>
  <si>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</si>
  <si>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</si>
  <si>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</si>
  <si>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</si>
  <si>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</si>
  <si>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</si>
  <si>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</si>
  <si>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</si>
  <si>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</si>
  <si>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</si>
  <si>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</si>
  <si>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</si>
  <si>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</si>
  <si>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</si>
  <si>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</si>
  <si>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</si>
  <si>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</si>
  <si>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</si>
  <si>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</si>
  <si>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</si>
  <si>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</si>
  <si>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</si>
  <si>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</si>
  <si>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</si>
  <si>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</si>
  <si>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</si>
  <si>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</si>
  <si>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</si>
  <si>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</si>
  <si>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</si>
  <si>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</si>
  <si>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</si>
  <si>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</si>
  <si>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</si>
  <si>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</si>
  <si>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</si>
  <si>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</si>
  <si>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</si>
  <si>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</si>
  <si>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</si>
  <si>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</si>
  <si>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</si>
  <si>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</si>
  <si>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</si>
  <si>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</si>
  <si>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</si>
  <si>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</si>
  <si>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</si>
  <si>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</si>
  <si>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</si>
  <si>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</si>
  <si>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</si>
  <si>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</si>
  <si>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</si>
  <si>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</si>
  <si>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</si>
  <si>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</si>
  <si>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</si>
  <si>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</si>
  <si>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</si>
  <si>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</si>
  <si>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</si>
  <si>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</si>
  <si>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</si>
  <si>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</si>
  <si>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</si>
  <si>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</si>
  <si>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</si>
  <si>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</si>
  <si>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</si>
  <si>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</si>
  <si>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</si>
  <si>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</si>
  <si>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</si>
  <si>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</si>
  <si>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</si>
  <si>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</si>
  <si>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</si>
  <si>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</si>
  <si>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</si>
  <si>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</si>
  <si>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</si>
  <si>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</si>
  <si>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</si>
  <si>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</si>
  <si>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</si>
  <si>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</si>
  <si>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</si>
  <si>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</si>
  <si>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</si>
  <si>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</si>
  <si>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</si>
  <si>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</si>
  <si>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</si>
  <si>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</si>
  <si>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</si>
  <si>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</si>
  <si>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</si>
  <si>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</si>
  <si>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</si>
  <si>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</si>
  <si>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</si>
  <si>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</si>
  <si>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</si>
  <si>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</si>
  <si>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</si>
  <si>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</si>
  <si>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</si>
  <si>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</si>
  <si>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</si>
  <si>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</si>
  <si>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</si>
  <si>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</si>
  <si>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</si>
  <si>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</si>
  <si>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</si>
  <si>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</si>
  <si>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</si>
  <si>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</si>
  <si>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</si>
  <si>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</si>
  <si>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</si>
  <si>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</si>
  <si>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</si>
  <si>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</si>
  <si>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</si>
  <si>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</si>
  <si>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</si>
  <si>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</si>
  <si>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</si>
  <si>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</si>
  <si>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</si>
  <si>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</si>
  <si>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</si>
  <si>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</si>
  <si>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</si>
  <si>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</si>
  <si>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</si>
  <si>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</si>
  <si>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</si>
  <si>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</si>
  <si>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</si>
  <si>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</si>
  <si>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</si>
  <si>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</si>
  <si>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</si>
  <si>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</si>
  <si>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</si>
  <si>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</si>
  <si>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</si>
  <si>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</si>
  <si>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</si>
  <si>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</si>
  <si>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</si>
  <si>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</si>
  <si>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</si>
  <si>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</si>
  <si>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</si>
  <si>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</si>
  <si>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</si>
  <si>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</si>
  <si>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</si>
  <si>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</si>
  <si>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</si>
  <si>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</si>
  <si>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</si>
  <si>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</si>
  <si>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</si>
  <si>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</si>
  <si>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</si>
  <si>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</si>
  <si>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</si>
  <si>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</si>
  <si>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</si>
  <si>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</si>
  <si>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</si>
  <si>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</si>
  <si>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</si>
  <si>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</si>
  <si>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</si>
  <si>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</si>
  <si>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</si>
  <si>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</si>
  <si>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</si>
  <si>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</si>
  <si>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</si>
  <si>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</si>
  <si>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</si>
  <si>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</si>
  <si>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</si>
  <si>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</si>
  <si>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</si>
  <si>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</si>
  <si>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</si>
  <si>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</si>
  <si>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</si>
  <si>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</si>
  <si>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</si>
  <si>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</si>
  <si>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</si>
  <si>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</si>
  <si>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</si>
  <si>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</si>
  <si>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</si>
  <si>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</si>
  <si>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</si>
  <si>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</si>
  <si>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</si>
  <si>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</si>
  <si>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</si>
  <si>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</si>
  <si>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</si>
  <si>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</si>
  <si>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</si>
  <si>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</si>
  <si>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</si>
  <si>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</si>
  <si>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</si>
  <si>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</si>
  <si>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</si>
  <si>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</si>
  <si>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</si>
  <si>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</si>
  <si>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</si>
  <si>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</si>
  <si>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</si>
  <si>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</si>
  <si>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</si>
  <si>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</si>
  <si>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</si>
  <si>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</si>
  <si>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</si>
  <si>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</si>
  <si>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</si>
  <si>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</si>
  <si>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</si>
  <si>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</si>
  <si>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</si>
  <si>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</si>
  <si>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</si>
  <si>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</si>
  <si>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</si>
  <si>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</si>
  <si>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</si>
  <si>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</si>
  <si>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</si>
  <si>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</si>
  <si>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</si>
  <si>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</si>
  <si>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</si>
  <si>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</si>
  <si>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</si>
  <si>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</si>
  <si>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</si>
  <si>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</si>
  <si>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</si>
  <si>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</si>
  <si>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</si>
  <si>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</si>
  <si>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</si>
  <si>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</si>
  <si>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</si>
  <si>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</si>
  <si>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</si>
  <si>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</si>
  <si>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</si>
  <si>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</si>
  <si>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</si>
  <si>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</si>
  <si>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</si>
  <si>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</si>
  <si>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</si>
  <si>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</si>
  <si>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</si>
  <si>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</si>
  <si>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</si>
  <si>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</si>
  <si>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</si>
  <si>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</si>
  <si>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</si>
  <si>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</si>
  <si>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</si>
  <si>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</si>
  <si>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</si>
  <si>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</si>
  <si>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</si>
  <si>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</si>
  <si>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</si>
  <si>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</si>
  <si>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</si>
  <si>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</si>
  <si>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</si>
  <si>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</si>
  <si>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</si>
  <si>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</si>
  <si>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</si>
  <si>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</si>
  <si>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</si>
  <si>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</si>
  <si>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</si>
  <si>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</si>
  <si>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</si>
  <si>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</si>
  <si>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</si>
  <si>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</si>
  <si>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</si>
  <si>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</si>
  <si>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</si>
  <si>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</si>
  <si>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</si>
  <si>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</si>
  <si>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</si>
  <si>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</si>
  <si>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</si>
  <si>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</si>
  <si>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</si>
  <si>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</si>
  <si>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</si>
  <si>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</si>
  <si>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</si>
  <si>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</si>
  <si>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</si>
  <si>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</si>
  <si>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</si>
  <si>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</si>
  <si>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</si>
  <si>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</si>
  <si>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</si>
  <si>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</si>
  <si>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</si>
  <si>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</si>
  <si>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</si>
  <si>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</si>
  <si>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</si>
  <si>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</si>
  <si>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</si>
  <si>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</si>
  <si>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</si>
  <si>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</si>
  <si>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</si>
  <si>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</si>
  <si>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</si>
  <si>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</si>
  <si>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</si>
  <si>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</si>
  <si>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</si>
  <si>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</si>
  <si>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</si>
  <si>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</si>
  <si>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</si>
  <si>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</si>
  <si>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</si>
  <si>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</si>
  <si>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</si>
  <si>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</si>
  <si>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</si>
  <si>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</si>
  <si>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</si>
  <si>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</si>
  <si>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</si>
  <si>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</si>
  <si>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</si>
  <si>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</si>
  <si>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</si>
  <si>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</si>
  <si>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</si>
  <si>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</si>
  <si>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</si>
  <si>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</si>
  <si>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</si>
  <si>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</si>
  <si>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</si>
  <si>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</si>
  <si>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</si>
  <si>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</si>
  <si>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</si>
  <si>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</si>
  <si>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</si>
  <si>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</si>
  <si>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</si>
  <si>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</si>
  <si>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</si>
  <si>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</si>
  <si>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</si>
  <si>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</si>
  <si>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</si>
  <si>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</si>
  <si>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</si>
  <si>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</si>
  <si>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</si>
  <si>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</si>
  <si>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</si>
  <si>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</si>
  <si>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</si>
  <si>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</si>
  <si>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</si>
  <si>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</si>
  <si>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</si>
  <si>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</si>
  <si>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</si>
  <si>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</si>
  <si>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</si>
  <si>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</si>
  <si>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</si>
  <si>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</si>
  <si>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</si>
  <si>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</si>
  <si>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</si>
  <si>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</si>
  <si>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</si>
  <si>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</si>
  <si>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</si>
  <si>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</si>
  <si>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</si>
  <si>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</si>
  <si>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</si>
  <si>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</si>
  <si>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</si>
  <si>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</si>
  <si>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</si>
  <si>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</si>
  <si>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</si>
  <si>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</si>
  <si>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</si>
  <si>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</si>
  <si>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</si>
  <si>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</si>
  <si>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</si>
  <si>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</si>
  <si>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</si>
  <si>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</si>
  <si>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</si>
  <si>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</si>
  <si>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</si>
  <si>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</si>
  <si>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</si>
  <si>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</si>
  <si>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</si>
  <si>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</si>
  <si>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</si>
  <si>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</si>
  <si>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</si>
  <si>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</si>
  <si>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</si>
  <si>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</si>
  <si>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</si>
  <si>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</si>
  <si>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</si>
  <si>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</si>
  <si>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</si>
  <si>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</si>
  <si>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</si>
  <si>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</si>
  <si>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</si>
  <si>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</si>
  <si>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</si>
  <si>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</si>
  <si>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</si>
  <si>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</si>
  <si>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</si>
  <si>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</si>
  <si>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</si>
  <si>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</si>
  <si>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</si>
  <si>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</si>
  <si>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</si>
  <si>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</si>
  <si>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</si>
  <si>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</si>
  <si>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</si>
  <si>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</si>
  <si>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</si>
  <si>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</si>
  <si>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</si>
  <si>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</si>
  <si>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</si>
  <si>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</si>
  <si>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</si>
  <si>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</si>
  <si>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</si>
  <si>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</si>
  <si>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</si>
  <si>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</si>
  <si>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</si>
  <si>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</si>
  <si>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</si>
  <si>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</si>
  <si>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</si>
  <si>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</si>
  <si>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</si>
  <si>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</si>
  <si>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</si>
  <si>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</si>
  <si>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</si>
  <si>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</si>
  <si>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</si>
  <si>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</si>
  <si>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</si>
  <si>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</si>
  <si>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</si>
  <si>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</si>
  <si>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</si>
  <si>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</si>
  <si>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</si>
  <si>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</si>
  <si>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</si>
  <si>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</si>
  <si>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</si>
  <si>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</si>
  <si>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</si>
  <si>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</si>
  <si>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</si>
  <si>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</si>
  <si>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</si>
  <si>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</si>
  <si>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</si>
  <si>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</si>
  <si>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</si>
  <si>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</si>
  <si>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</si>
  <si>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</si>
  <si>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</si>
  <si>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</si>
  <si>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</si>
  <si>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</si>
  <si>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</si>
  <si>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</si>
  <si>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</si>
  <si>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</si>
  <si>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</si>
  <si>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</si>
  <si>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</si>
  <si>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</si>
  <si>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</si>
  <si>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</si>
  <si>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</si>
  <si>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</si>
  <si>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</si>
  <si>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</si>
  <si>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</si>
  <si>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</si>
  <si>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</si>
  <si>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</si>
  <si>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</si>
  <si>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</si>
  <si>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</si>
  <si>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</si>
  <si>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</si>
  <si>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</si>
  <si>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</si>
  <si>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</si>
  <si>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</si>
  <si>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</si>
  <si>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</si>
  <si>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</si>
  <si>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</si>
  <si>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</si>
  <si>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</si>
  <si>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</si>
  <si>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</si>
  <si>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</si>
  <si>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</si>
  <si>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</si>
  <si>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</si>
  <si>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</si>
  <si>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</si>
  <si>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</si>
  <si>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</si>
  <si>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</si>
  <si>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</si>
  <si>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</si>
  <si>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</si>
  <si>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</si>
  <si>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</si>
  <si>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</si>
  <si>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</si>
  <si>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</si>
  <si>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</si>
  <si>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</si>
  <si>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</si>
  <si>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</si>
  <si>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</si>
  <si>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</si>
  <si>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</si>
  <si>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</si>
  <si>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</si>
  <si>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</si>
  <si>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</si>
  <si>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</si>
  <si>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</si>
  <si>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</si>
  <si>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</si>
  <si>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</si>
  <si>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</si>
  <si>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</si>
  <si>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</si>
  <si>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</si>
  <si>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</si>
  <si>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</si>
  <si>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</si>
  <si>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</si>
  <si>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</si>
  <si>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</si>
  <si>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</si>
  <si>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</si>
  <si>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</si>
  <si>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</si>
  <si>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</si>
  <si>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</si>
  <si>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</si>
  <si>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</si>
  <si>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</si>
  <si>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</si>
  <si>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</si>
  <si>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</si>
  <si>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</si>
  <si>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</si>
  <si>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</si>
  <si>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</si>
  <si>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</si>
  <si>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</si>
  <si>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</si>
  <si>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</si>
  <si>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</si>
  <si>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</si>
  <si>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</si>
  <si>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</si>
  <si>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</si>
  <si>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</si>
  <si>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</si>
  <si>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</si>
  <si>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</si>
  <si>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</si>
  <si>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</si>
  <si>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</si>
  <si>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</si>
  <si>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</si>
  <si>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</si>
  <si>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</si>
  <si>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</si>
  <si>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</si>
  <si>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</si>
  <si>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</si>
  <si>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</si>
  <si>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</si>
  <si>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</si>
  <si>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</si>
  <si>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</si>
  <si>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</si>
  <si>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</si>
  <si>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</si>
  <si>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</si>
  <si>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</si>
  <si>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</si>
  <si>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</si>
  <si>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</si>
  <si>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</si>
  <si>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</si>
  <si>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</si>
  <si>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</si>
  <si>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</si>
  <si>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</si>
  <si>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</si>
  <si>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</si>
  <si>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</si>
  <si>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</si>
  <si>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</si>
  <si>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</si>
  <si>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</si>
  <si>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</si>
  <si>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</si>
  <si>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</si>
  <si>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</si>
  <si>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</si>
  <si>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</si>
  <si>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</si>
  <si>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</si>
  <si>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</si>
  <si>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</si>
  <si>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</si>
  <si>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</si>
  <si>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</si>
  <si>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</si>
  <si>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</si>
  <si>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</si>
  <si>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</si>
  <si>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</si>
  <si>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</si>
  <si>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</si>
  <si>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</si>
  <si>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</si>
  <si>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</si>
  <si>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</si>
  <si>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</si>
  <si>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</si>
  <si>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</si>
  <si>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</si>
  <si>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</si>
  <si>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</si>
  <si>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</si>
  <si>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</si>
  <si>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</si>
  <si>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</si>
  <si>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</si>
  <si>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</si>
  <si>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</si>
  <si>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</si>
  <si>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</si>
  <si>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</si>
  <si>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</si>
  <si>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</si>
  <si>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</si>
  <si>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</si>
  <si>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</si>
  <si>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</si>
  <si>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</si>
  <si>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</si>
  <si>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</si>
  <si>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</si>
  <si>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</si>
  <si>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</si>
  <si>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</si>
  <si>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</si>
  <si>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</si>
  <si>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</si>
  <si>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</si>
  <si>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</si>
  <si>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</si>
  <si>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</si>
  <si>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</si>
  <si>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</si>
  <si>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</si>
  <si>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</si>
  <si>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</si>
  <si>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</si>
  <si>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</si>
  <si>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</si>
  <si>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</si>
  <si>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</si>
  <si>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</si>
  <si>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</si>
  <si>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</si>
  <si>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</si>
  <si>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</si>
  <si>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</si>
  <si>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</si>
  <si>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</si>
  <si>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</si>
  <si>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</si>
  <si>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</si>
  <si>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</si>
  <si>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</si>
  <si>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</si>
  <si>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</si>
  <si>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</si>
  <si>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</si>
  <si>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</si>
  <si>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</si>
  <si>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</si>
  <si>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</si>
  <si>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</si>
  <si>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</si>
  <si>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</si>
  <si>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</si>
  <si>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</si>
  <si>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</si>
  <si>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</si>
  <si>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</si>
  <si>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</si>
  <si>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</si>
  <si>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</si>
  <si>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</si>
  <si>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</si>
  <si>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</si>
  <si>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</si>
  <si>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</si>
  <si>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</si>
  <si>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</si>
  <si>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</si>
  <si>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</si>
  <si>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</si>
  <si>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</si>
  <si>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</si>
  <si>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</si>
  <si>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</si>
  <si>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</si>
  <si>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</si>
  <si>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</si>
  <si>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</si>
  <si>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</si>
  <si>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</si>
  <si>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</si>
  <si>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</si>
  <si>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</si>
  <si>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</si>
  <si>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</si>
  <si>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</si>
  <si>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</si>
  <si>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</si>
  <si>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</si>
  <si>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</si>
  <si>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</si>
  <si>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</si>
  <si>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</si>
  <si>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</si>
  <si>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</si>
  <si>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</si>
  <si>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</si>
  <si>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</si>
  <si>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</si>
  <si>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</si>
  <si>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</si>
  <si>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</si>
  <si>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</si>
  <si>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</si>
  <si>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</si>
  <si>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</si>
  <si>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</si>
  <si>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</si>
  <si>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</si>
  <si>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</si>
  <si>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</si>
  <si>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</si>
  <si>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</si>
  <si>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</si>
  <si>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</si>
  <si>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</si>
  <si>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</si>
  <si>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</si>
  <si>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</si>
  <si>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</si>
  <si>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</si>
  <si>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</si>
  <si>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</si>
  <si>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</si>
  <si>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</si>
  <si>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</si>
  <si>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</si>
  <si>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</si>
  <si>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</si>
  <si>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</si>
  <si>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</si>
  <si>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</si>
  <si>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</si>
  <si>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</si>
  <si>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</si>
  <si>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</si>
  <si>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</si>
  <si>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</si>
  <si>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</si>
  <si>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</si>
  <si>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</si>
  <si>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</si>
  <si>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</si>
  <si>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</si>
  <si>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</si>
  <si>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</si>
  <si>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</si>
  <si>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</si>
  <si>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</si>
  <si>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</si>
  <si>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</si>
  <si>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</si>
  <si>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</si>
  <si>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</si>
  <si>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</si>
  <si>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</si>
  <si>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</si>
  <si>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</si>
  <si>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</si>
  <si>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</si>
  <si>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</si>
  <si>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</si>
  <si>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</si>
  <si>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</si>
  <si>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</si>
  <si>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</si>
  <si>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</si>
  <si>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</si>
  <si>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</si>
  <si>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</si>
  <si>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</si>
  <si>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</si>
  <si>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</si>
  <si>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</si>
  <si>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</si>
  <si>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</si>
  <si>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</si>
  <si>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</si>
  <si>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</si>
  <si>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</si>
  <si>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</si>
  <si>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</si>
  <si>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</si>
  <si>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</si>
  <si>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</si>
  <si>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</si>
  <si>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</si>
  <si>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</si>
  <si>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</si>
  <si>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</si>
  <si>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</si>
  <si>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</si>
  <si>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</si>
  <si>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</si>
  <si>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</si>
  <si>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</si>
  <si>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</si>
  <si>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</si>
  <si>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</si>
  <si>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</si>
  <si>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</si>
  <si>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</si>
  <si>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</si>
  <si>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</si>
  <si>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</si>
  <si>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</si>
  <si>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</si>
  <si>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</si>
  <si>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</si>
  <si>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</si>
  <si>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</si>
  <si>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</si>
  <si>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</si>
  <si>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</si>
  <si>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</si>
  <si>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</si>
  <si>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</si>
  <si>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</si>
  <si>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</si>
  <si>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</si>
  <si>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</si>
  <si>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</si>
  <si>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</si>
  <si>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</si>
  <si>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</si>
  <si>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</si>
  <si>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</si>
  <si>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</si>
  <si>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</si>
  <si>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</si>
  <si>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</si>
  <si>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</si>
  <si>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</si>
  <si>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</si>
  <si>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</si>
  <si>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</si>
  <si>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</si>
  <si>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</si>
  <si>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</si>
  <si>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</si>
  <si>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</si>
  <si>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</si>
  <si>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</si>
  <si>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</si>
  <si>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</si>
  <si>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</si>
  <si>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</si>
  <si>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</si>
  <si>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</si>
  <si>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</si>
  <si>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</si>
  <si>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</si>
  <si>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</si>
  <si>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</si>
  <si>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</si>
  <si>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</si>
  <si>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</si>
  <si>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</si>
  <si>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</si>
  <si>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</si>
  <si>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</si>
  <si>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</si>
  <si>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</si>
  <si>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</si>
  <si>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</si>
  <si>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</si>
  <si>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</si>
  <si>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</si>
  <si>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</si>
  <si>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</si>
  <si>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</si>
  <si>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</si>
  <si>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</si>
  <si>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</si>
  <si>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</si>
  <si>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</si>
  <si>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</si>
  <si>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</si>
  <si>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</si>
  <si>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</si>
  <si>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</si>
  <si>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</si>
  <si>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</si>
  <si>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</si>
  <si>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</si>
  <si>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</si>
  <si>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</si>
  <si>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</si>
  <si>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</si>
  <si>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</si>
  <si>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</si>
  <si>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</si>
  <si>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</si>
  <si>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</si>
  <si>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</si>
  <si>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</si>
  <si>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</si>
  <si>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</si>
  <si>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</si>
  <si>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</si>
  <si>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</si>
  <si>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</si>
  <si>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</si>
  <si>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</si>
  <si>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</si>
  <si>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</si>
  <si>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</si>
  <si>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</si>
  <si>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</si>
  <si>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</si>
  <si>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</si>
  <si>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</si>
  <si>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</si>
  <si>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</si>
  <si>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</si>
  <si>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</si>
  <si>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</si>
  <si>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</si>
  <si>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</si>
  <si>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</si>
  <si>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</si>
  <si>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</si>
  <si>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</si>
  <si>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</si>
  <si>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</si>
  <si>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</si>
  <si>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</si>
  <si>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</si>
  <si>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</si>
  <si>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</si>
  <si>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</si>
  <si>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</si>
  <si>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</si>
  <si>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</si>
  <si>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</si>
  <si>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</si>
  <si>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</si>
  <si>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</si>
  <si>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</si>
  <si>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</si>
  <si>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</si>
  <si>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</si>
  <si>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</si>
  <si>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</si>
  <si>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</si>
  <si>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</si>
  <si>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</si>
  <si>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</si>
  <si>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</si>
  <si>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</si>
  <si>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</si>
  <si>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</si>
  <si>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</si>
  <si>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</si>
  <si>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</si>
  <si>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</si>
  <si>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</si>
  <si>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</si>
  <si>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</si>
  <si>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</si>
  <si>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</si>
  <si>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</si>
  <si>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</si>
  <si>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</si>
  <si>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</si>
  <si>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</si>
  <si>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</si>
  <si>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</si>
  <si>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</si>
  <si>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</si>
  <si>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</si>
  <si>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</si>
  <si>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</si>
  <si>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</si>
  <si>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</si>
  <si>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</si>
  <si>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</si>
  <si>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</si>
  <si>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</si>
  <si>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</si>
  <si>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</si>
  <si>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</si>
  <si>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</si>
  <si>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</si>
  <si>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</si>
  <si>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</si>
  <si>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</si>
  <si>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</si>
  <si>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</si>
  <si>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</si>
  <si>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</si>
  <si>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</si>
  <si>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</si>
  <si>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</si>
  <si>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</si>
  <si>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</si>
  <si>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</si>
  <si>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</si>
  <si>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</si>
  <si>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</si>
  <si>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</si>
  <si>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</si>
  <si>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</si>
  <si>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</si>
  <si>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</si>
  <si>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</si>
  <si>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</si>
  <si>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</si>
  <si>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</si>
  <si>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</si>
  <si>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</si>
  <si>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</si>
  <si>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</si>
  <si>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</si>
  <si>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</si>
  <si>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</si>
  <si>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</si>
  <si>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</si>
  <si>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</si>
  <si>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</si>
  <si>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</si>
  <si>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</si>
  <si>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</si>
  <si>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</si>
  <si>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</si>
  <si>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</si>
  <si>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</si>
  <si>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</si>
  <si>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</si>
  <si>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</si>
  <si>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</si>
  <si>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</si>
  <si>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</si>
  <si>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</si>
  <si>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</si>
  <si>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</si>
  <si>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</si>
  <si>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</si>
  <si>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</si>
  <si>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</si>
  <si>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</si>
  <si>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</si>
  <si>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</si>
  <si>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</si>
  <si>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</si>
  <si>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</si>
  <si>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</si>
  <si>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</si>
  <si>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</si>
  <si>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</si>
  <si>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</si>
  <si>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</si>
  <si>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</si>
  <si>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</si>
  <si>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</si>
  <si>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</si>
  <si>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</si>
  <si>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</si>
  <si>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</si>
  <si>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</si>
  <si>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</si>
  <si>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</si>
  <si>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</si>
  <si>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</si>
  <si>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</si>
  <si>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</si>
  <si>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</si>
  <si>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</si>
  <si>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</si>
  <si>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</si>
  <si>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</si>
  <si>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</si>
  <si>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</si>
  <si>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</si>
  <si>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</si>
  <si>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</si>
  <si>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</si>
  <si>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</si>
  <si>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</si>
  <si>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</si>
  <si>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</si>
  <si>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</si>
  <si>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</si>
  <si>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</si>
  <si>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</si>
  <si>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</si>
  <si>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</si>
  <si>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</si>
  <si>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</si>
  <si>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</si>
  <si>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</si>
  <si>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</si>
  <si>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</si>
  <si>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</si>
  <si>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</si>
  <si>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</si>
  <si>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</si>
  <si>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</si>
  <si>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</si>
  <si>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</si>
  <si>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</si>
  <si>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</si>
  <si>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</si>
  <si>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</si>
  <si>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</si>
  <si>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</si>
  <si>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</si>
  <si>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</si>
  <si>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</si>
  <si>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</si>
  <si>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</si>
  <si>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</si>
  <si>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</si>
  <si>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</si>
  <si>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</si>
  <si>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</si>
  <si>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</si>
  <si>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</si>
  <si>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</si>
  <si>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</si>
  <si>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</si>
  <si>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</si>
  <si>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</si>
  <si>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</si>
  <si>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</si>
  <si>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</si>
  <si>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</si>
  <si>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</si>
  <si>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</si>
  <si>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</si>
  <si>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</si>
  <si>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</si>
  <si>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</si>
  <si>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</si>
  <si>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</si>
  <si>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</si>
  <si>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</si>
  <si>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</si>
  <si>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</si>
  <si>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</si>
  <si>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</si>
  <si>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</si>
  <si>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</si>
  <si>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</si>
  <si>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</si>
  <si>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</si>
  <si>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</si>
  <si>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</si>
  <si>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</si>
  <si>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</si>
  <si>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</si>
  <si>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</si>
  <si>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</si>
  <si>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</si>
  <si>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</si>
  <si>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</si>
  <si>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</si>
  <si>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</si>
  <si>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</si>
  <si>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</si>
  <si>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</si>
  <si>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</si>
  <si>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</si>
  <si>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</si>
  <si>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</si>
  <si>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</si>
  <si>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</si>
  <si>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</si>
  <si>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</si>
  <si>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</si>
  <si>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</si>
  <si>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</si>
  <si>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</si>
  <si>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</si>
  <si>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</si>
  <si>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</si>
  <si>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</si>
  <si>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</si>
  <si>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</si>
  <si>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</si>
  <si>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</si>
  <si>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</si>
  <si>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</si>
  <si>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</si>
  <si>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</si>
  <si>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</si>
  <si>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</si>
  <si>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</si>
  <si>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</si>
  <si>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</si>
  <si>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</si>
  <si>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</si>
  <si>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</si>
  <si>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</si>
  <si>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</si>
  <si>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</si>
  <si>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</si>
  <si>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</si>
  <si>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</si>
  <si>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</si>
  <si>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</si>
  <si>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</si>
  <si>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</si>
  <si>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</si>
  <si>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</si>
  <si>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</si>
  <si>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</si>
  <si>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</si>
  <si>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</si>
  <si>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</si>
  <si>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</si>
  <si>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</si>
  <si>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</si>
  <si>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</si>
  <si>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</si>
  <si>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</si>
  <si>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</si>
  <si>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</si>
  <si>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</si>
  <si>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</si>
  <si>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</si>
  <si>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</si>
  <si>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</si>
  <si>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</si>
  <si>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</si>
  <si>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</si>
  <si>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</si>
  <si>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</si>
  <si>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</si>
  <si>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</si>
  <si>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</si>
  <si>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</si>
  <si>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</si>
  <si>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</si>
  <si>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</si>
  <si>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</si>
  <si>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</si>
  <si>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</si>
  <si>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</si>
  <si>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</si>
  <si>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</si>
  <si>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</si>
  <si>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</si>
  <si>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</si>
  <si>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</si>
  <si>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</si>
  <si>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</si>
  <si>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</si>
  <si>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</si>
  <si>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</si>
  <si>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</si>
  <si>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</si>
  <si>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</si>
  <si>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</si>
  <si>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</si>
  <si>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</si>
  <si>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</si>
  <si>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</si>
  <si>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</si>
  <si>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</si>
  <si>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</si>
  <si>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</si>
  <si>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</si>
  <si>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</si>
  <si>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</si>
  <si>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</si>
  <si>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</si>
  <si>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</si>
  <si>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</si>
  <si>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</si>
  <si>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</si>
  <si>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</si>
  <si>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</si>
  <si>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</si>
  <si>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</si>
  <si>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</si>
  <si>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</si>
  <si>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</si>
  <si>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</si>
  <si>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</si>
  <si>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</si>
  <si>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</si>
  <si>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</si>
  <si>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</si>
  <si>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</si>
  <si>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</si>
  <si>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</si>
  <si>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</si>
  <si>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</si>
  <si>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</si>
  <si>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</si>
  <si>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</si>
  <si>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</si>
  <si>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</si>
  <si>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</si>
  <si>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</si>
  <si>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</si>
  <si>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</si>
  <si>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</si>
  <si>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</si>
  <si>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</si>
  <si>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</si>
  <si>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</si>
  <si>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</si>
  <si>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</si>
  <si>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</si>
  <si>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</si>
  <si>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</si>
  <si>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</si>
  <si>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</si>
  <si>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</si>
  <si>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</si>
  <si>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</si>
  <si>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</si>
  <si>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</si>
  <si>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</si>
  <si>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</si>
  <si>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</si>
  <si>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</si>
  <si>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</si>
  <si>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</si>
  <si>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</si>
  <si>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</si>
  <si>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</si>
  <si>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</si>
  <si>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</si>
  <si>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</si>
  <si>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</si>
  <si>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</si>
  <si>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</si>
  <si>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</si>
  <si>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</si>
  <si>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</si>
  <si>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</si>
  <si>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</si>
  <si>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</si>
  <si>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</si>
  <si>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</si>
  <si>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</si>
  <si>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</si>
  <si>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</si>
  <si>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</si>
  <si>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</si>
  <si>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</si>
  <si>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</si>
  <si>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</si>
  <si>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</si>
  <si>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</si>
  <si>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</si>
  <si>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</si>
  <si>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</si>
  <si>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</si>
  <si>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</si>
  <si>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</si>
  <si>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</si>
  <si>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</si>
  <si>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</si>
  <si>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</si>
  <si>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</si>
  <si>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</si>
  <si>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</si>
  <si>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</si>
  <si>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</si>
  <si>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</si>
  <si>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</si>
  <si>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</si>
  <si>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</si>
  <si>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</si>
  <si>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</si>
  <si>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</si>
  <si>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</si>
  <si>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</si>
  <si>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</si>
  <si>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</si>
  <si>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</si>
  <si>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</si>
  <si>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</si>
  <si>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</si>
  <si>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</si>
  <si>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</si>
  <si>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</si>
  <si>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</si>
  <si>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</si>
  <si>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</si>
  <si>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</si>
  <si>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</si>
  <si>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</si>
  <si>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</si>
  <si>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</si>
  <si>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</si>
  <si>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</si>
  <si>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</si>
  <si>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</si>
  <si>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</si>
  <si>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</si>
  <si>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</si>
  <si>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</si>
  <si>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</si>
  <si>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</si>
  <si>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</si>
  <si>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</si>
  <si>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</si>
  <si>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</si>
  <si>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</si>
  <si>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</si>
  <si>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</si>
  <si>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</si>
  <si>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</si>
  <si>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</si>
  <si>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</si>
  <si>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</si>
  <si>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</si>
  <si>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</si>
  <si>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</si>
  <si>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</si>
  <si>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</si>
  <si>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</si>
  <si>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</si>
  <si>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</si>
  <si>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</si>
  <si>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</si>
  <si>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</si>
  <si>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</si>
  <si>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</si>
  <si>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</si>
  <si>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</si>
  <si>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</si>
  <si>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</si>
  <si>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</si>
  <si>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</si>
  <si>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</si>
  <si>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</si>
  <si>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</si>
  <si>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</si>
  <si>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</si>
  <si>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</si>
  <si>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</si>
  <si>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</si>
  <si>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</si>
  <si>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</si>
  <si>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</si>
  <si>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</si>
  <si>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</si>
  <si>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</si>
  <si>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</si>
  <si>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</si>
  <si>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</si>
  <si>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</si>
  <si>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</si>
  <si>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</si>
  <si>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</si>
  <si>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</si>
  <si>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</si>
  <si>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</si>
  <si>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</si>
  <si>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</si>
  <si>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</si>
  <si>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</si>
  <si>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</si>
  <si>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</si>
  <si>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</si>
  <si>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</si>
  <si>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</si>
  <si>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</si>
  <si>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</si>
  <si>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</si>
  <si>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</si>
  <si>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</si>
  <si>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</si>
  <si>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</si>
  <si>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</si>
  <si>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</si>
  <si>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</si>
  <si>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</si>
  <si>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</si>
  <si>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</si>
  <si>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</si>
  <si>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</si>
  <si>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</si>
  <si>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</si>
  <si>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</si>
  <si>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</si>
  <si>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</si>
  <si>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</si>
  <si>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</si>
  <si>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</si>
  <si>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</si>
  <si>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</si>
  <si>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</si>
  <si>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</si>
  <si>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</si>
  <si>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</si>
  <si>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</si>
  <si>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</si>
  <si>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</si>
  <si>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</si>
  <si>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</si>
  <si>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</si>
  <si>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</si>
  <si>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</si>
  <si>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</si>
  <si>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</si>
  <si>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</si>
  <si>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</si>
  <si>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</si>
  <si>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</si>
  <si>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</si>
  <si>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</si>
  <si>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</si>
  <si>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</si>
  <si>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</si>
  <si>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</si>
  <si>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</si>
  <si>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</si>
  <si>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</si>
  <si>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</si>
  <si>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</si>
  <si>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</si>
  <si>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</si>
  <si>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</si>
  <si>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</si>
  <si>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</si>
  <si>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</si>
  <si>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</si>
  <si>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</si>
  <si>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</si>
  <si>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</si>
  <si>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</si>
  <si>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</si>
  <si>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</si>
  <si>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</si>
  <si>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</si>
  <si>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</si>
  <si>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</si>
  <si>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</si>
  <si>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</si>
  <si>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</si>
  <si>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</si>
  <si>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</si>
  <si>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</si>
  <si>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</si>
  <si>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</si>
  <si>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</si>
  <si>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</si>
  <si>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</si>
  <si>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</si>
  <si>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</si>
  <si>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</si>
  <si>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</si>
  <si>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</si>
  <si>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</si>
  <si>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</si>
  <si>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</si>
  <si>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</si>
  <si>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</si>
  <si>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</si>
  <si>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</si>
  <si>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</si>
  <si>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</si>
  <si>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</si>
  <si>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</si>
  <si>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</si>
  <si>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</si>
  <si>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</si>
  <si>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</si>
  <si>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</si>
  <si>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</si>
  <si>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</si>
  <si>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</si>
  <si>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</si>
  <si>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</si>
  <si>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</si>
  <si>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</si>
  <si>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</si>
  <si>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</si>
  <si>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</si>
  <si>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</si>
  <si>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</si>
  <si>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</si>
  <si>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</si>
  <si>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</si>
  <si>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</si>
  <si>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</si>
  <si>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</si>
  <si>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</si>
  <si>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</si>
  <si>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</si>
  <si>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</si>
  <si>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</si>
  <si>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</si>
  <si>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</si>
  <si>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</si>
  <si>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</si>
  <si>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</si>
  <si>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</si>
  <si>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</si>
  <si>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</si>
  <si>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</si>
  <si>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</si>
  <si>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</si>
  <si>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</si>
  <si>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</si>
  <si>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</si>
  <si>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</si>
  <si>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</si>
  <si>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</si>
  <si>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</si>
  <si>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</si>
  <si>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</si>
  <si>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</si>
  <si>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</si>
  <si>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</si>
  <si>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</si>
  <si>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</si>
  <si>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</si>
  <si>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</si>
  <si>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</si>
  <si>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</si>
  <si>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</si>
  <si>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</si>
  <si>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</si>
  <si>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</si>
  <si>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</si>
  <si>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</si>
  <si>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</si>
  <si>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</si>
  <si>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</si>
  <si>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</si>
  <si>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</si>
  <si>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</si>
  <si>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</si>
  <si>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</si>
  <si>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</si>
  <si>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</si>
  <si>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</si>
  <si>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</si>
  <si>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</si>
  <si>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</si>
  <si>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</si>
  <si>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</si>
  <si>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</si>
  <si>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</si>
  <si>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</si>
  <si>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</si>
  <si>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</si>
  <si>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</si>
  <si>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</si>
  <si>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</si>
  <si>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</si>
  <si>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</si>
  <si>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</si>
  <si>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</si>
  <si>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</si>
  <si>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</si>
  <si>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</si>
  <si>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</si>
  <si>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</si>
  <si>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</si>
  <si>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</si>
  <si>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</si>
  <si>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</si>
  <si>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</si>
  <si>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</si>
  <si>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</si>
  <si>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</si>
  <si>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</si>
  <si>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</si>
  <si>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</si>
  <si>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</si>
  <si>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</si>
  <si>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</si>
  <si>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</si>
  <si>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</si>
  <si>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</si>
  <si>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</si>
  <si>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</si>
  <si>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</si>
  <si>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</si>
  <si>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</si>
  <si>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</si>
  <si>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</si>
  <si>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</si>
  <si>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</si>
  <si>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</si>
  <si>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</si>
  <si>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</si>
  <si>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</si>
  <si>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</si>
  <si>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</si>
  <si>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</si>
  <si>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</si>
  <si>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</si>
  <si>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</si>
  <si>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</si>
  <si>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</si>
  <si>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</si>
  <si>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</si>
  <si>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</si>
  <si>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</si>
  <si>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</si>
  <si>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</si>
  <si>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</si>
  <si>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</si>
  <si>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</si>
  <si>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</si>
  <si>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</si>
  <si>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</si>
  <si>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</si>
  <si>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</si>
  <si>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</si>
  <si>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</si>
  <si>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</si>
  <si>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</si>
  <si>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</si>
  <si>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</si>
  <si>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</si>
  <si>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</si>
  <si>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</si>
  <si>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</si>
  <si>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</si>
  <si>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</si>
  <si>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</si>
  <si>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</si>
  <si>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</si>
  <si>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</si>
  <si>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</si>
  <si>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</si>
  <si>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</si>
  <si>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</si>
  <si>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</si>
  <si>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</si>
  <si>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</si>
  <si>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</si>
  <si>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</si>
  <si>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</si>
  <si>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</si>
  <si>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</si>
  <si>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</si>
  <si>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</si>
  <si>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</si>
  <si>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</si>
  <si>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</si>
  <si>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</si>
  <si>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</si>
  <si>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</si>
  <si>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</si>
  <si>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</si>
  <si>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</si>
  <si>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</si>
  <si>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</si>
  <si>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</si>
  <si>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</si>
  <si>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</si>
  <si>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</si>
  <si>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</si>
  <si>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</si>
  <si>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</si>
  <si>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</si>
  <si>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</si>
  <si>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</si>
  <si>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</si>
  <si>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</si>
  <si>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</si>
  <si>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</si>
  <si>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</si>
  <si>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</si>
  <si>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</si>
  <si>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</si>
  <si>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</si>
  <si>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</si>
  <si>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</si>
  <si>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</si>
  <si>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</si>
  <si>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</si>
  <si>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</si>
  <si>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</si>
  <si>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</si>
  <si>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</si>
  <si>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</si>
  <si>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</si>
  <si>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</si>
  <si>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</si>
  <si>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</si>
  <si>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</si>
  <si>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</si>
  <si>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</si>
  <si>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</si>
  <si>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</si>
  <si>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</si>
  <si>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</si>
  <si>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</si>
  <si>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</si>
  <si>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</si>
  <si>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</si>
  <si>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</si>
  <si>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</si>
  <si>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</si>
  <si>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</si>
  <si>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</si>
  <si>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</si>
  <si>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</si>
  <si>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</si>
  <si>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</si>
  <si>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</si>
  <si>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</si>
  <si>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</si>
  <si>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</si>
  <si>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</si>
  <si>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</si>
  <si>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</si>
  <si>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</si>
  <si>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</si>
  <si>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</si>
  <si>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</si>
  <si>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</si>
  <si>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</si>
  <si>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</si>
  <si>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</si>
  <si>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</si>
  <si>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</si>
  <si>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</si>
  <si>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</si>
  <si>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</si>
  <si>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</si>
  <si>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</si>
  <si>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</si>
  <si>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</si>
  <si>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</si>
  <si>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</si>
  <si>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</si>
  <si>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</si>
  <si>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</si>
  <si>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</si>
  <si>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</si>
  <si>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</si>
  <si>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</si>
  <si>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</si>
  <si>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</si>
  <si>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</si>
  <si>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</si>
  <si>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</si>
  <si>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</si>
  <si>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</si>
  <si>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</si>
  <si>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</si>
  <si>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</si>
  <si>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</si>
  <si>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</si>
  <si>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</si>
  <si>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</si>
  <si>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</si>
  <si>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</si>
  <si>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</si>
  <si>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</si>
  <si>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</si>
  <si>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</si>
  <si>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</si>
  <si>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</si>
  <si>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</si>
  <si>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</si>
  <si>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</si>
  <si>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</si>
  <si>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</si>
  <si>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</si>
  <si>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</si>
  <si>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</si>
  <si>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</si>
  <si>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</si>
  <si>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</si>
  <si>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</si>
  <si>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</si>
  <si>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</si>
  <si>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</si>
  <si>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</si>
  <si>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</si>
  <si>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</si>
  <si>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</si>
  <si>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</si>
  <si>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</si>
  <si>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</si>
  <si>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</si>
  <si>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</si>
  <si>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</si>
  <si>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</si>
  <si>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</si>
  <si>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</si>
  <si>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</si>
  <si>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</si>
  <si>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</si>
  <si>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</si>
  <si>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</si>
  <si>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</si>
  <si>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</si>
  <si>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</si>
  <si>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</si>
  <si>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</si>
  <si>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</si>
  <si>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</si>
  <si>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</si>
  <si>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</si>
  <si>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</si>
  <si>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</si>
  <si>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</si>
  <si>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</si>
  <si>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</si>
  <si>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</si>
  <si>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</si>
  <si>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</si>
  <si>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</si>
  <si>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</si>
  <si>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</si>
  <si>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</si>
  <si>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</si>
  <si>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</si>
  <si>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</si>
  <si>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</si>
  <si>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</si>
  <si>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</si>
  <si>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</si>
  <si>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</si>
  <si>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</si>
  <si>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</si>
  <si>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</si>
  <si>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</si>
  <si>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</si>
  <si>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</si>
  <si>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</si>
  <si>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</si>
  <si>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</si>
  <si>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</si>
  <si>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</si>
  <si>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</si>
  <si>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</si>
  <si>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</si>
  <si>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</si>
  <si>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</si>
  <si>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</si>
  <si>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</si>
  <si>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</si>
  <si>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</si>
  <si>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</si>
  <si>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</si>
  <si>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</si>
  <si>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</si>
  <si>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</si>
  <si>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</si>
  <si>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</si>
  <si>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</si>
  <si>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</si>
  <si>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</si>
  <si>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</si>
  <si>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</si>
  <si>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</si>
  <si>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</si>
  <si>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</si>
  <si>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</si>
  <si>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</si>
  <si>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</si>
  <si>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</si>
  <si>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</si>
  <si>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</si>
  <si>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</si>
  <si>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</si>
  <si>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</si>
  <si>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</si>
  <si>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</si>
  <si>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</si>
  <si>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</si>
  <si>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</si>
  <si>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</si>
  <si>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</si>
  <si>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</si>
  <si>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</si>
  <si>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</si>
  <si>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</si>
  <si>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</si>
  <si>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</si>
  <si>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</si>
  <si>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</si>
  <si>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</si>
  <si>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</si>
  <si>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</si>
  <si>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</si>
  <si>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</si>
  <si>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</si>
  <si>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</si>
  <si>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</si>
  <si>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</si>
  <si>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</si>
  <si>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</si>
  <si>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</si>
  <si>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</si>
  <si>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</si>
  <si>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</si>
  <si>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</si>
  <si>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</si>
  <si>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</si>
  <si>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</si>
  <si>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</si>
  <si>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</si>
  <si>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</si>
  <si>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</si>
  <si>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</si>
  <si>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</si>
  <si>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</si>
  <si>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</si>
  <si>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</si>
  <si>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</si>
  <si>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</si>
  <si>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</si>
  <si>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</si>
  <si>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</si>
  <si>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</si>
  <si>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</si>
  <si>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</si>
  <si>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</si>
  <si>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</si>
  <si>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</si>
  <si>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</si>
  <si>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</si>
  <si>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</si>
  <si>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</si>
  <si>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</si>
  <si>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</si>
  <si>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</si>
  <si>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</si>
  <si>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</si>
  <si>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</si>
  <si>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</si>
  <si>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</si>
  <si>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</si>
  <si>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</si>
  <si>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</si>
  <si>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</si>
  <si>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</si>
  <si>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</si>
  <si>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</si>
  <si>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</si>
  <si>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</si>
  <si>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</si>
  <si>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</si>
  <si>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</si>
  <si>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</si>
  <si>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</si>
  <si>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</si>
  <si>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</si>
  <si>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</si>
  <si>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</si>
  <si>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</si>
  <si>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</si>
  <si>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</si>
  <si>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</si>
  <si>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</si>
  <si>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</si>
  <si>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</si>
  <si>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</si>
  <si>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</si>
  <si>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</si>
  <si>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</si>
  <si>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</si>
  <si>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</si>
  <si>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</si>
  <si>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</si>
  <si>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</si>
  <si>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</si>
  <si>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</si>
  <si>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</si>
  <si>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</si>
  <si>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</si>
  <si>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</si>
  <si>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</si>
  <si>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</si>
  <si>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</si>
  <si>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</si>
  <si>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</si>
  <si>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</si>
  <si>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</si>
  <si>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</si>
  <si>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</si>
  <si>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</si>
  <si>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</si>
  <si>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</si>
  <si>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</si>
  <si>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</si>
  <si>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</si>
  <si>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</si>
  <si>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</si>
  <si>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</si>
  <si>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</si>
  <si>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</si>
  <si>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</si>
  <si>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</si>
  <si>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</si>
  <si>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</si>
  <si>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</si>
  <si>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</si>
  <si>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</si>
  <si>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</si>
  <si>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</si>
  <si>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</si>
  <si>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</si>
  <si>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</si>
  <si>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</si>
  <si>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</si>
  <si>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</si>
  <si>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</si>
  <si>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</si>
  <si>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</si>
  <si>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</si>
  <si>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</si>
  <si>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</si>
  <si>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</si>
  <si>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</si>
  <si>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</si>
  <si>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</si>
  <si>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</si>
  <si>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</si>
  <si>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</si>
  <si>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</si>
  <si>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</si>
  <si>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</si>
  <si>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</si>
  <si>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</si>
  <si>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</si>
  <si>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</si>
  <si>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</si>
  <si>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</si>
  <si>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</si>
  <si>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</si>
  <si>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</si>
  <si>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</si>
  <si>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</si>
  <si>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</si>
  <si>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</si>
  <si>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</si>
  <si>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</si>
  <si>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</si>
  <si>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</si>
  <si>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</si>
  <si>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</si>
  <si>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</si>
  <si>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</si>
  <si>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</si>
  <si>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</si>
  <si>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</si>
  <si>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</si>
  <si>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</si>
  <si>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</si>
  <si>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</si>
  <si>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</si>
  <si>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</si>
  <si>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</si>
  <si>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</si>
  <si>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</si>
  <si>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</si>
  <si>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</si>
  <si>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</si>
  <si>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</si>
  <si>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</si>
  <si>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</si>
  <si>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</si>
  <si>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</si>
  <si>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</si>
  <si>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</si>
  <si>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</si>
  <si>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</si>
  <si>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</si>
  <si>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</si>
  <si>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</si>
  <si>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</si>
  <si>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</si>
  <si>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</si>
  <si>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</si>
  <si>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</si>
  <si>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</si>
  <si>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</si>
  <si>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</si>
  <si>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</si>
  <si>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</si>
  <si>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</si>
  <si>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</si>
  <si>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</si>
  <si>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</si>
  <si>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</si>
  <si>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</si>
  <si>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</si>
  <si>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</si>
  <si>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</si>
  <si>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</si>
  <si>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</si>
  <si>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</si>
  <si>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</si>
  <si>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</si>
  <si>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</si>
  <si>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</si>
  <si>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</si>
  <si>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</si>
  <si>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</si>
  <si>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</si>
  <si>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</si>
  <si>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</si>
  <si>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</si>
  <si>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</si>
  <si>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</si>
  <si>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</si>
  <si>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</si>
  <si>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</si>
  <si>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</si>
  <si>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</si>
  <si>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</si>
  <si>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</si>
  <si>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</si>
  <si>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</si>
  <si>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</si>
  <si>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</si>
  <si>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</si>
  <si>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</si>
  <si>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</si>
  <si>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</si>
  <si>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</si>
  <si>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</si>
  <si>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</si>
  <si>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</si>
  <si>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</si>
  <si>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</si>
  <si>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</si>
  <si>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</si>
  <si>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</si>
  <si>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</si>
  <si>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</si>
  <si>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</si>
  <si>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</si>
  <si>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</si>
  <si>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</si>
  <si>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</si>
  <si>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</si>
  <si>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</si>
  <si>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</si>
  <si>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</si>
  <si>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</si>
  <si>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</si>
  <si>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</si>
  <si>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</si>
  <si>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</si>
  <si>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</si>
  <si>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</si>
  <si>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</si>
  <si>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</si>
  <si>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</si>
  <si>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</si>
  <si>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</si>
  <si>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</si>
  <si>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</si>
  <si>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</si>
  <si>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</si>
  <si>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</si>
  <si>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</si>
  <si>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</si>
  <si>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</si>
  <si>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</si>
  <si>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</si>
  <si>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</si>
  <si>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</si>
  <si>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</si>
  <si>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</si>
  <si>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</si>
  <si>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</si>
  <si>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</si>
  <si>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</si>
  <si>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</si>
  <si>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</si>
  <si>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</si>
  <si>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</si>
  <si>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</si>
  <si>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</si>
  <si>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</si>
  <si>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</si>
  <si>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</si>
  <si>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</si>
  <si>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</si>
  <si>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</si>
  <si>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</si>
  <si>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</si>
  <si>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</si>
  <si>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</si>
  <si>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</si>
  <si>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</si>
  <si>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</si>
  <si>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</si>
  <si>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</si>
  <si>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</si>
  <si>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</si>
  <si>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</si>
  <si>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</si>
  <si>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</si>
  <si>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</si>
  <si>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</si>
  <si>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</si>
  <si>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</si>
  <si>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</si>
  <si>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</si>
  <si>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</si>
  <si>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</si>
  <si>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</si>
  <si>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</si>
  <si>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</si>
  <si>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</si>
  <si>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</si>
  <si>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</si>
  <si>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</si>
  <si>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</si>
  <si>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</si>
  <si>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</si>
  <si>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</si>
  <si>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</si>
  <si>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</si>
  <si>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</si>
  <si>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</si>
  <si>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</si>
  <si>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</si>
  <si>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</si>
  <si>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</si>
  <si>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</si>
  <si>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</si>
  <si>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</si>
  <si>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</si>
  <si>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</si>
  <si>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</si>
  <si>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</si>
  <si>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</si>
  <si>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</si>
  <si>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</si>
  <si>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</si>
  <si>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</si>
  <si>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</si>
  <si>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</si>
  <si>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</si>
  <si>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</si>
  <si>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</si>
  <si>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</si>
  <si>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</si>
  <si>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</si>
  <si>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</si>
  <si>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</si>
  <si>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</si>
  <si>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</si>
  <si>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</si>
  <si>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</si>
  <si>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</si>
  <si>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</si>
  <si>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</si>
  <si>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</si>
  <si>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</si>
  <si>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</si>
  <si>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</si>
  <si>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</si>
  <si>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</si>
  <si>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</si>
  <si>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</si>
  <si>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</si>
  <si>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</si>
  <si>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</si>
  <si>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</si>
  <si>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</si>
  <si>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</si>
  <si>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</si>
  <si>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</si>
  <si>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</si>
  <si>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</si>
  <si>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</si>
  <si>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</si>
  <si>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</si>
  <si>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</si>
  <si>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</si>
  <si>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</si>
  <si>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</si>
  <si>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</si>
  <si>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</si>
  <si>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</si>
  <si>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</si>
  <si>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</si>
  <si>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</si>
  <si>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</si>
  <si>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</si>
  <si>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</si>
  <si>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</si>
  <si>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</si>
  <si>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</si>
  <si>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</si>
  <si>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</si>
  <si>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</si>
  <si>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</si>
  <si>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</si>
  <si>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</si>
  <si>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</si>
  <si>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</si>
  <si>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</si>
  <si>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</si>
  <si>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</si>
  <si>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</si>
  <si>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</si>
  <si>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</si>
  <si>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</si>
  <si>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</si>
  <si>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</si>
  <si>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</si>
  <si>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</si>
  <si>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</si>
  <si>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</si>
  <si>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</si>
  <si>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</si>
  <si>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</si>
  <si>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</si>
  <si>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</si>
  <si>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</si>
  <si>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</si>
  <si>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</si>
  <si>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</si>
  <si>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</si>
  <si>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</si>
  <si>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</si>
  <si>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</si>
  <si>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</si>
  <si>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</si>
  <si>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</si>
  <si>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</si>
  <si>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</si>
  <si>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</si>
  <si>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</si>
  <si>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</si>
  <si>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</si>
  <si>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</si>
  <si>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</si>
  <si>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</si>
  <si>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</si>
  <si>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</si>
  <si>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</si>
  <si>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</si>
  <si>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</si>
  <si>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</si>
  <si>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</si>
  <si>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</si>
  <si>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</si>
  <si>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</si>
  <si>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</si>
  <si>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</si>
  <si>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</si>
  <si>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</si>
  <si>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</si>
  <si>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</si>
  <si>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</si>
  <si>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</si>
  <si>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</si>
  <si>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</si>
  <si>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</si>
  <si>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</si>
  <si>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</si>
  <si>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</si>
  <si>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</si>
  <si>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</si>
  <si>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</si>
  <si>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</si>
  <si>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</si>
  <si>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</si>
  <si>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</si>
  <si>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</si>
  <si>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</si>
  <si>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</si>
  <si>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</si>
  <si>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</si>
  <si>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</si>
  <si>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</si>
  <si>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</si>
  <si>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</si>
  <si>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</si>
  <si>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</si>
  <si>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</si>
  <si>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</si>
  <si>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</si>
  <si>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</si>
  <si>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</si>
  <si>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</si>
  <si>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</si>
  <si>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</si>
  <si>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</si>
  <si>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</si>
  <si>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</si>
  <si>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</si>
  <si>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</si>
  <si>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</si>
  <si>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</si>
  <si>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</si>
  <si>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</si>
  <si>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</si>
  <si>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</si>
  <si>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</si>
  <si>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</si>
  <si>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</si>
  <si>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</si>
  <si>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</si>
  <si>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</si>
  <si>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</si>
  <si>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</si>
  <si>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</si>
  <si>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</si>
  <si>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</si>
  <si>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</si>
  <si>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</si>
  <si>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</si>
  <si>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</si>
  <si>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</si>
  <si>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</si>
  <si>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</si>
  <si>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</si>
  <si>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</si>
  <si>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</si>
  <si>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</si>
  <si>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</si>
  <si>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</si>
  <si>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</si>
  <si>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</si>
  <si>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</si>
  <si>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</si>
  <si>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</si>
  <si>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</si>
  <si>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</si>
  <si>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</si>
  <si>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</si>
  <si>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</si>
  <si>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</si>
  <si>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</si>
  <si>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</si>
  <si>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</si>
  <si>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</si>
  <si>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</si>
  <si>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</si>
  <si>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</si>
  <si>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</si>
  <si>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</si>
  <si>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</si>
  <si>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</si>
  <si>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</si>
  <si>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</si>
  <si>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</si>
  <si>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</si>
  <si>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</si>
  <si>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</si>
  <si>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</si>
  <si>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</si>
  <si>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</si>
  <si>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</si>
  <si>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</si>
  <si>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</si>
  <si>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</si>
  <si>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</si>
  <si>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</si>
  <si>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</si>
  <si>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</si>
  <si>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</si>
  <si>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</si>
  <si>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</si>
  <si>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</si>
  <si>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</si>
  <si>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</si>
  <si>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</si>
  <si>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</si>
  <si>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</si>
  <si>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</si>
  <si>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</si>
  <si>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</si>
  <si>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</si>
  <si>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</si>
  <si>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</si>
  <si>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</si>
  <si>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</si>
  <si>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</si>
  <si>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</si>
  <si>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</si>
  <si>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</si>
  <si>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</si>
  <si>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</si>
  <si>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</si>
  <si>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</si>
  <si>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</si>
  <si>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</si>
  <si>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</si>
  <si>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</si>
  <si>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</si>
  <si>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</si>
  <si>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</si>
  <si>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</si>
  <si>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</si>
  <si>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</si>
  <si>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</si>
  <si>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</si>
  <si>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</si>
  <si>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</si>
  <si>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</si>
  <si>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</si>
  <si>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</si>
  <si>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</si>
  <si>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</si>
  <si>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</si>
  <si>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</si>
  <si>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</si>
  <si>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</si>
  <si>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</si>
  <si>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</si>
  <si>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</si>
  <si>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</si>
  <si>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</si>
  <si>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</si>
  <si>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</si>
  <si>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</si>
  <si>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</si>
  <si>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</si>
  <si>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</si>
  <si>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</si>
  <si>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</si>
  <si>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</si>
  <si>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</si>
  <si>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</si>
  <si>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</si>
  <si>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</si>
  <si>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</si>
  <si>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</si>
  <si>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</si>
  <si>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</si>
  <si>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</si>
  <si>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</si>
  <si>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</si>
  <si>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</si>
  <si>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</si>
  <si>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</si>
  <si>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</si>
  <si>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</si>
  <si>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</si>
  <si>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</si>
  <si>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</si>
  <si>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</si>
  <si>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</si>
  <si>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</si>
  <si>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</si>
  <si>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</si>
  <si>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</si>
  <si>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</si>
  <si>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</si>
  <si>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</si>
  <si>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</si>
  <si>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</si>
  <si>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</si>
  <si>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</si>
  <si>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</si>
  <si>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</si>
  <si>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</si>
  <si>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</si>
  <si>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</si>
  <si>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</si>
  <si>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</si>
  <si>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</si>
  <si>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</si>
  <si>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</si>
  <si>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</si>
  <si>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</si>
  <si>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</si>
  <si>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</si>
  <si>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</si>
  <si>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</si>
  <si>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</si>
  <si>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</si>
  <si>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</si>
  <si>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</si>
  <si>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</si>
  <si>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</si>
  <si>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</si>
  <si>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</si>
  <si>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</si>
  <si>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</si>
  <si>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</si>
  <si>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</si>
  <si>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</si>
  <si>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</si>
  <si>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</si>
  <si>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</si>
  <si>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</si>
  <si>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</si>
  <si>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</si>
  <si>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</si>
  <si>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</si>
  <si>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</si>
  <si>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</si>
  <si>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</si>
  <si>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</si>
  <si>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</si>
  <si>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</si>
  <si>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</si>
  <si>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</si>
  <si>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</si>
  <si>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</si>
  <si>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</si>
  <si>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</si>
  <si>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</si>
  <si>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</si>
  <si>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</si>
  <si>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</si>
  <si>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</si>
  <si>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</si>
  <si>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</si>
  <si>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</si>
  <si>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</si>
  <si>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</si>
  <si>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</si>
  <si>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</si>
  <si>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</si>
  <si>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</si>
  <si>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</si>
  <si>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</si>
  <si>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</si>
  <si>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</si>
  <si>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</si>
  <si>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</si>
  <si>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</si>
  <si>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</si>
  <si>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</si>
  <si>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</si>
  <si>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</si>
  <si>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</si>
  <si>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</si>
  <si>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</si>
  <si>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</si>
  <si>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</si>
  <si>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</si>
  <si>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</si>
  <si>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</si>
  <si>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</si>
  <si>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</si>
  <si>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</si>
  <si>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</si>
  <si>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</si>
  <si>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</si>
  <si>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</si>
  <si>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</si>
  <si>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</si>
  <si>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</si>
  <si>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</si>
  <si>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</si>
  <si>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</si>
  <si>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</si>
  <si>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</si>
  <si>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</si>
  <si>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</si>
  <si>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</si>
  <si>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</si>
  <si>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</si>
  <si>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</si>
  <si>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</si>
  <si>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</si>
  <si>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</si>
  <si>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</si>
  <si>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</si>
  <si>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</si>
  <si>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</si>
  <si>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</si>
  <si>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</si>
  <si>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</si>
  <si>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</si>
  <si>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</si>
  <si>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</si>
  <si>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</si>
  <si>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</si>
  <si>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</si>
  <si>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</si>
  <si>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</si>
  <si>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</si>
  <si>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</si>
  <si>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</si>
  <si>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</si>
  <si>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</si>
  <si>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</si>
  <si>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</si>
  <si>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</si>
  <si>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</si>
  <si>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</si>
  <si>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</si>
  <si>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</si>
  <si>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</si>
  <si>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</si>
  <si>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</si>
  <si>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</si>
  <si>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</si>
  <si>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</si>
  <si>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</si>
  <si>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</si>
  <si>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</si>
  <si>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</si>
  <si>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</si>
  <si>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</si>
  <si>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</si>
  <si>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</si>
  <si>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</si>
  <si>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</si>
  <si>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</si>
  <si>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</si>
  <si>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</si>
  <si>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</si>
  <si>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</si>
  <si>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</si>
  <si>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</si>
  <si>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</si>
  <si>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</si>
  <si>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</si>
  <si>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</si>
  <si>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</si>
  <si>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</si>
  <si>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</si>
  <si>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</si>
  <si>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</si>
  <si>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</si>
  <si>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</si>
  <si>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</si>
  <si>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</si>
  <si>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</si>
  <si>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</si>
  <si>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</si>
  <si>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</si>
  <si>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</si>
  <si>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</si>
  <si>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</si>
  <si>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</si>
  <si>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</si>
  <si>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</si>
  <si>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</si>
  <si>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</si>
  <si>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</si>
  <si>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</si>
  <si>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</si>
  <si>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</si>
  <si>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</si>
  <si>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</si>
  <si>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</si>
  <si>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</si>
  <si>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</si>
  <si>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</si>
  <si>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</si>
  <si>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</si>
  <si>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</si>
  <si>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</si>
  <si>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</si>
  <si>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</si>
  <si>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</si>
  <si>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</si>
  <si>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</si>
  <si>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</si>
  <si>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</si>
  <si>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</si>
  <si>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</si>
  <si>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</si>
  <si>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</si>
  <si>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</si>
  <si>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</si>
  <si>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</si>
  <si>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</si>
  <si>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</si>
  <si>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</si>
  <si>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</si>
  <si>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</si>
  <si>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</si>
  <si>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</si>
  <si>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</si>
  <si>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</si>
  <si>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</si>
  <si>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</si>
  <si>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</si>
  <si>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</si>
  <si>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</si>
  <si>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</si>
  <si>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</si>
  <si>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</si>
  <si>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</si>
  <si>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</si>
  <si>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</si>
  <si>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</si>
  <si>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</si>
  <si>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</si>
  <si>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</si>
  <si>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</si>
  <si>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</si>
  <si>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</si>
  <si>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</si>
  <si>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</si>
  <si>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</si>
  <si>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</si>
  <si>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</si>
  <si>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</si>
  <si>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</si>
  <si>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</si>
  <si>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</si>
  <si>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</si>
  <si>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</si>
  <si>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</si>
  <si>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</si>
  <si>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</si>
  <si>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</si>
  <si>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</si>
  <si>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</si>
  <si>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</si>
  <si>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</si>
  <si>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</si>
  <si>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</si>
  <si>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</si>
  <si>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</si>
  <si>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</si>
  <si>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</si>
  <si>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</si>
  <si>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</si>
  <si>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</si>
  <si>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</si>
  <si>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</si>
  <si>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</si>
  <si>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</si>
  <si>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</si>
  <si>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</si>
  <si>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</si>
  <si>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</si>
  <si>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</si>
  <si>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</si>
  <si>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</si>
  <si>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</si>
  <si>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</si>
  <si>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</si>
  <si>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</si>
  <si>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</si>
  <si>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</si>
  <si>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</si>
  <si>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</si>
  <si>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</si>
  <si>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</si>
  <si>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</si>
  <si>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</si>
  <si>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</si>
  <si>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</si>
  <si>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</si>
  <si>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</si>
  <si>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</si>
  <si>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</si>
  <si>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</si>
  <si>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</si>
  <si>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</si>
  <si>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</si>
  <si>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</si>
  <si>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</si>
  <si>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</si>
  <si>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</si>
  <si>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</si>
  <si>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</si>
  <si>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</si>
  <si>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</si>
  <si>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</si>
  <si>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</si>
  <si>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</si>
  <si>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</si>
  <si>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</si>
  <si>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</si>
  <si>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</si>
  <si>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</si>
  <si>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</si>
  <si>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</si>
  <si>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</si>
  <si>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</si>
  <si>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</si>
  <si>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</si>
  <si>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</si>
  <si>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</si>
  <si>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</si>
  <si>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</si>
  <si>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</si>
  <si>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</si>
  <si>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</si>
  <si>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</si>
  <si>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</si>
  <si>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</si>
  <si>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</si>
  <si>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</si>
  <si>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</si>
  <si>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</si>
  <si>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</si>
  <si>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</si>
  <si>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</si>
  <si>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</si>
  <si>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</si>
  <si>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</si>
  <si>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</si>
  <si>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</si>
  <si>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</si>
  <si>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</si>
  <si>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</si>
  <si>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</si>
  <si>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</si>
  <si>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</si>
  <si>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</si>
  <si>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</si>
  <si>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</si>
  <si>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</si>
  <si>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</si>
  <si>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</si>
  <si>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</si>
  <si>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</si>
  <si>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</si>
  <si>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</si>
  <si>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</si>
  <si>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</si>
  <si>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</si>
  <si>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</si>
  <si>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</si>
  <si>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</si>
  <si>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</si>
  <si>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</si>
  <si>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</si>
  <si>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</si>
  <si>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</si>
  <si>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</si>
  <si>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</si>
  <si>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</si>
  <si>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</si>
  <si>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</si>
  <si>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</si>
  <si>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</si>
  <si>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</si>
  <si>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</si>
  <si>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</si>
  <si>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</si>
  <si>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</si>
  <si>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</si>
  <si>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</si>
  <si>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</si>
  <si>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</si>
  <si>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</si>
  <si>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</si>
  <si>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</si>
  <si>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</si>
  <si>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</si>
  <si>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</si>
  <si>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</si>
  <si>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</si>
  <si>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</si>
  <si>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</si>
  <si>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</si>
  <si>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</si>
  <si>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</si>
  <si>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</si>
  <si>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</si>
  <si>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</si>
  <si>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</si>
  <si>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</si>
  <si>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</si>
  <si>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</si>
  <si>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</si>
  <si>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</si>
  <si>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</si>
  <si>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</si>
  <si>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</si>
  <si>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</si>
  <si>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</si>
  <si>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</si>
  <si>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</si>
  <si>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</si>
  <si>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</si>
  <si>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</si>
  <si>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</si>
  <si>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</si>
  <si>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</si>
  <si>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</si>
  <si>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</si>
  <si>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</si>
  <si>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</si>
  <si>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</si>
  <si>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</si>
  <si>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</si>
  <si>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</si>
  <si>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</si>
  <si>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</si>
  <si>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</si>
  <si>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</si>
  <si>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</si>
  <si>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</si>
  <si>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</si>
  <si>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</si>
  <si>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</si>
  <si>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</si>
  <si>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</si>
  <si>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</si>
  <si>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</si>
  <si>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</si>
  <si>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</si>
  <si>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</si>
  <si>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</si>
  <si>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</si>
  <si>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</si>
  <si>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</si>
  <si>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</si>
  <si>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</si>
  <si>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</si>
  <si>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</si>
  <si>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</si>
  <si>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</si>
  <si>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</si>
  <si>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</si>
  <si>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</si>
  <si>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</si>
  <si>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</si>
  <si>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</si>
  <si>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</si>
  <si>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</si>
  <si>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</si>
  <si>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</si>
  <si>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</si>
  <si>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</si>
  <si>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</si>
  <si>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</si>
  <si>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</si>
  <si>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</si>
  <si>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</si>
  <si>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</si>
  <si>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</si>
  <si>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</si>
  <si>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</si>
  <si>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</si>
  <si>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</si>
  <si>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</si>
  <si>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</si>
  <si>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</si>
  <si>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</si>
  <si>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</si>
  <si>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</si>
  <si>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</si>
  <si>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</si>
  <si>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</si>
  <si>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</si>
  <si>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</si>
  <si>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</si>
  <si>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</si>
  <si>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</si>
  <si>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</si>
  <si>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</si>
  <si>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</si>
  <si>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</si>
  <si>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</si>
  <si>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</si>
  <si>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</si>
  <si>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</si>
  <si>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</si>
  <si>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</si>
  <si>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</si>
  <si>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</si>
  <si>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</si>
  <si>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</si>
  <si>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</si>
  <si>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</si>
  <si>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</si>
  <si>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</si>
  <si>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</si>
  <si>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</si>
  <si>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</si>
  <si>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</si>
  <si>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</si>
  <si>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</si>
  <si>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</si>
  <si>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</si>
  <si>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</si>
  <si>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</si>
  <si>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</si>
  <si>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</si>
  <si>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</si>
  <si>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</si>
  <si>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</si>
  <si>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</si>
  <si>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</si>
  <si>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</si>
  <si>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</si>
  <si>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</si>
  <si>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</si>
  <si>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</si>
  <si>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</si>
  <si>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</si>
  <si>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</si>
  <si>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</si>
  <si>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</si>
  <si>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</si>
  <si>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</si>
  <si>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</si>
  <si>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</si>
  <si>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</si>
  <si>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</si>
  <si>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</si>
  <si>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</si>
  <si>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</si>
  <si>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</si>
  <si>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</si>
  <si>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</si>
  <si>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</si>
  <si>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</si>
  <si>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</si>
  <si>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</si>
  <si>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</si>
  <si>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</si>
  <si>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</si>
  <si>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</si>
  <si>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</si>
  <si>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</si>
  <si>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</si>
  <si>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</si>
  <si>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</si>
  <si>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</si>
  <si>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</si>
  <si>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</si>
  <si>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</si>
  <si>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</si>
  <si>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</si>
  <si>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</si>
  <si>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</si>
  <si>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</si>
  <si>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</si>
  <si>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</si>
  <si>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</si>
  <si>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</si>
  <si>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</si>
  <si>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</si>
  <si>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</si>
  <si>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</si>
  <si>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</si>
  <si>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</si>
  <si>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</si>
  <si>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</si>
  <si>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</si>
  <si>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</si>
  <si>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</si>
  <si>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</si>
  <si>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</si>
  <si>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</si>
  <si>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</si>
  <si>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</si>
  <si>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</si>
  <si>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</si>
  <si>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</si>
  <si>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</si>
  <si>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</si>
  <si>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</si>
  <si>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</si>
  <si>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</si>
  <si>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</si>
  <si>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</si>
  <si>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</si>
  <si>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</si>
  <si>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</si>
  <si>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</si>
  <si>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</si>
  <si>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</si>
  <si>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</si>
  <si>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</si>
  <si>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</si>
  <si>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</si>
  <si>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</si>
  <si>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</si>
  <si>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</si>
  <si>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</si>
  <si>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</si>
  <si>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</si>
  <si>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</si>
  <si>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</si>
  <si>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</si>
  <si>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</si>
  <si>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</si>
  <si>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</si>
  <si>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</si>
  <si>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</si>
  <si>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</si>
  <si>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</si>
  <si>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</si>
  <si>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</si>
  <si>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</si>
  <si>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</si>
  <si>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</si>
  <si>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</si>
  <si>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</si>
  <si>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</si>
  <si>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</si>
  <si>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</si>
  <si>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</si>
  <si>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</si>
  <si>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</si>
  <si>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</si>
  <si>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</si>
  <si>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</si>
  <si>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</si>
  <si>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</si>
  <si>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</si>
  <si>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</si>
  <si>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</si>
  <si>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</si>
  <si>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</si>
  <si>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</si>
  <si>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</si>
  <si>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</si>
  <si>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</si>
  <si>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</si>
  <si>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</si>
  <si>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</si>
  <si>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</si>
  <si>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</si>
  <si>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</si>
  <si>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</si>
  <si>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</si>
  <si>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</si>
  <si>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</si>
  <si>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</si>
  <si>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</si>
  <si>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</si>
  <si>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</si>
  <si>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</si>
  <si>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</si>
  <si>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</si>
  <si>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</si>
  <si>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</si>
  <si>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</si>
  <si>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</si>
  <si>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</si>
  <si>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</si>
  <si>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</si>
  <si>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</si>
  <si>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</si>
  <si>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</si>
  <si>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</si>
  <si>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</si>
  <si>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</si>
  <si>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</si>
  <si>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</si>
  <si>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</si>
  <si>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</si>
  <si>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</si>
  <si>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</si>
  <si>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</si>
  <si>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</si>
  <si>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</si>
  <si>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</si>
  <si>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</si>
  <si>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</si>
  <si>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</si>
  <si>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</si>
  <si>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</si>
  <si>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</si>
  <si>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</si>
  <si>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</si>
  <si>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</si>
  <si>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</si>
  <si>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</si>
  <si>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</si>
  <si>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</si>
  <si>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</si>
  <si>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</si>
  <si>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</si>
  <si>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</si>
  <si>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</si>
  <si>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</si>
  <si>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</si>
  <si>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</si>
  <si>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</si>
  <si>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</si>
  <si>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</si>
  <si>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</si>
  <si>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</si>
  <si>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</si>
  <si>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</si>
  <si>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</si>
  <si>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</si>
  <si>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</si>
  <si>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</si>
  <si>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</si>
  <si>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</si>
  <si>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</si>
  <si>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</si>
  <si>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</si>
  <si>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</si>
  <si>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</si>
  <si>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</si>
  <si>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</si>
  <si>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</si>
  <si>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</si>
  <si>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</si>
  <si>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</si>
  <si>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</si>
  <si>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</si>
  <si>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</si>
  <si>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</si>
  <si>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</si>
  <si>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</si>
  <si>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</si>
  <si>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</si>
  <si>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</si>
  <si>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</si>
  <si>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</si>
  <si>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</si>
  <si>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</si>
  <si>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</si>
  <si>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</si>
  <si>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</si>
  <si>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</si>
  <si>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</si>
  <si>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</si>
  <si>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</si>
  <si>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</si>
  <si>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</si>
  <si>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</si>
  <si>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</si>
  <si>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</si>
  <si>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</si>
  <si>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</si>
  <si>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</si>
  <si>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</si>
  <si>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</si>
  <si>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</si>
  <si>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</si>
  <si>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</si>
  <si>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</si>
  <si>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</si>
  <si>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</si>
  <si>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</si>
  <si>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</si>
  <si>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</si>
  <si>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</si>
  <si>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</si>
  <si>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</si>
  <si>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</si>
  <si>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</si>
  <si>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</si>
  <si>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</si>
  <si>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</si>
  <si>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</si>
  <si>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</si>
  <si>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</si>
  <si>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</si>
  <si>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</si>
  <si>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</si>
  <si>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</si>
  <si>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</si>
  <si>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</si>
  <si>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</si>
  <si>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</si>
  <si>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</si>
  <si>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</si>
  <si>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</si>
  <si>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</si>
  <si>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</si>
  <si>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</si>
  <si>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</si>
  <si>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</si>
  <si>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</si>
  <si>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</si>
  <si>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</si>
  <si>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</si>
  <si>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</si>
  <si>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</si>
  <si>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</si>
  <si>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</si>
  <si>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</si>
  <si>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</si>
  <si>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</si>
  <si>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</si>
  <si>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</si>
  <si>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</si>
  <si>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</si>
  <si>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</si>
  <si>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</si>
  <si>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</si>
  <si>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</si>
  <si>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</si>
  <si>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</si>
  <si>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</si>
  <si>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</si>
  <si>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</si>
  <si>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</si>
  <si>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</si>
  <si>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</si>
  <si>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</si>
  <si>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</si>
  <si>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</si>
  <si>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</si>
  <si>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</si>
  <si>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</si>
  <si>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</si>
  <si>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</si>
  <si>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</si>
  <si>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</si>
  <si>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</si>
  <si>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</si>
  <si>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</si>
  <si>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</si>
  <si>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</si>
  <si>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</si>
  <si>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</si>
  <si>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</si>
  <si>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</si>
  <si>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</si>
  <si>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</si>
  <si>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</si>
  <si>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</si>
  <si>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</si>
  <si>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</si>
  <si>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</si>
  <si>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</si>
  <si>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</si>
  <si>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</si>
  <si>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</si>
  <si>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</si>
  <si>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</si>
  <si>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</si>
  <si>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</si>
  <si>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</si>
  <si>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</si>
  <si>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</si>
  <si>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</si>
  <si>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</si>
  <si>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</si>
  <si>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</si>
  <si>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</si>
  <si>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</si>
  <si>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</si>
  <si>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</si>
  <si>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</si>
  <si>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</si>
  <si>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</si>
  <si>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</si>
  <si>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</si>
  <si>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</si>
  <si>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</si>
  <si>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</si>
  <si>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</si>
  <si>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</si>
  <si>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</si>
  <si>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</si>
  <si>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</si>
  <si>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</si>
  <si>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</si>
  <si>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</si>
  <si>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</si>
  <si>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</si>
  <si>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</si>
  <si>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</si>
  <si>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</si>
  <si>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</si>
  <si>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</si>
  <si>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</si>
  <si>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</si>
  <si>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</si>
  <si>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</si>
  <si>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</si>
  <si>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</si>
  <si>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</si>
  <si>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</si>
  <si>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</si>
  <si>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</si>
  <si>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</si>
  <si>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</si>
  <si>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</si>
  <si>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</si>
  <si>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</si>
  <si>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</si>
  <si>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</si>
  <si>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</si>
  <si>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</si>
  <si>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</si>
  <si>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</si>
  <si>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</si>
  <si>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</si>
  <si>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</si>
  <si>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</si>
  <si>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</si>
  <si>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</si>
  <si>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</si>
  <si>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</si>
  <si>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</si>
  <si>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</si>
  <si>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</si>
  <si>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</si>
  <si>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</si>
  <si>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</si>
  <si>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</si>
  <si>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</si>
  <si>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</si>
  <si>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</si>
  <si>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</si>
  <si>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</si>
  <si>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</si>
  <si>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</si>
  <si>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</si>
  <si>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</si>
  <si>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</si>
  <si>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</si>
  <si>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</si>
  <si>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</si>
  <si>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</si>
  <si>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</si>
  <si>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</si>
  <si>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</si>
  <si>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</si>
  <si>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</si>
  <si>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</si>
  <si>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</si>
  <si>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</si>
  <si>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</si>
  <si>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</si>
  <si>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</si>
  <si>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</si>
  <si>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</si>
  <si>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</si>
  <si>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</si>
  <si>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</si>
  <si>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</si>
  <si>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</si>
  <si>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</si>
  <si>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</si>
  <si>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</si>
  <si>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</si>
  <si>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</si>
  <si>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</si>
  <si>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</si>
  <si>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</si>
  <si>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</si>
  <si>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</si>
  <si>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</si>
  <si>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</si>
  <si>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</si>
  <si>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</si>
  <si>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</si>
  <si>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</si>
  <si>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</si>
  <si>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</si>
  <si>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</si>
  <si>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</si>
  <si>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</si>
  <si>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</si>
  <si>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</si>
  <si>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</si>
  <si>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</si>
  <si>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</si>
  <si>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</si>
  <si>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</si>
  <si>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</si>
  <si>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</si>
  <si>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</si>
  <si>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</si>
  <si>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</si>
  <si>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</si>
  <si>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</si>
  <si>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</si>
  <si>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</si>
  <si>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</si>
  <si>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</si>
  <si>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</si>
  <si>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</si>
  <si>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</si>
  <si>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</si>
  <si>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</si>
  <si>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</si>
  <si>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</si>
  <si>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</si>
  <si>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</si>
  <si>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</si>
  <si>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</si>
  <si>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</si>
  <si>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</si>
  <si>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</si>
  <si>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</si>
  <si>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</si>
  <si>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</si>
  <si>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</si>
  <si>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</si>
  <si>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</si>
  <si>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</si>
  <si>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</si>
  <si>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</si>
  <si>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</si>
  <si>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</si>
  <si>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</si>
  <si>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</si>
  <si>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</si>
  <si>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</si>
  <si>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</si>
  <si>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</si>
  <si>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</si>
  <si>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</si>
  <si>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</si>
  <si>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</si>
  <si>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</si>
  <si>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</si>
  <si>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</si>
  <si>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</si>
  <si>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</si>
  <si>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</si>
  <si>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</si>
  <si>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</si>
  <si>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</si>
  <si>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</si>
  <si>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</si>
  <si>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</si>
  <si>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</si>
  <si>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</si>
  <si>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</si>
  <si>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</si>
  <si>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</si>
  <si>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</si>
  <si>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</si>
  <si>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</si>
  <si>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</si>
  <si>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</si>
  <si>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</si>
  <si>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</si>
  <si>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</si>
  <si>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</si>
  <si>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</si>
  <si>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</si>
  <si>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</si>
  <si>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</si>
  <si>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</si>
  <si>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</si>
  <si>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</si>
  <si>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</si>
  <si>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</si>
  <si>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</si>
  <si>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</si>
  <si>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</si>
  <si>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</si>
  <si>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</si>
  <si>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</si>
  <si>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</si>
  <si>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</si>
  <si>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</si>
  <si>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</si>
  <si>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</si>
  <si>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</si>
  <si>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</si>
  <si>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</si>
  <si>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</si>
  <si>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</si>
  <si>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</si>
  <si>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</si>
  <si>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</si>
  <si>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</si>
  <si>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</si>
  <si>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</si>
  <si>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</si>
  <si>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</si>
  <si>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</si>
  <si>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</si>
  <si>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</si>
  <si>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</si>
  <si>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</si>
  <si>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</si>
  <si>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</si>
  <si>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</si>
  <si>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</si>
  <si>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</si>
  <si>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</si>
  <si>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</si>
  <si>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</si>
  <si>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</si>
  <si>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</si>
  <si>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</si>
  <si>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</si>
  <si>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</si>
  <si>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</si>
  <si>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</si>
  <si>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</si>
  <si>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</si>
  <si>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</si>
  <si>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</si>
  <si>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</si>
  <si>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</si>
  <si>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</si>
  <si>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</si>
  <si>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</si>
  <si>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</si>
  <si>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</si>
  <si>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</si>
  <si>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</si>
  <si>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</si>
  <si>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</si>
  <si>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</si>
  <si>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</si>
  <si>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</si>
  <si>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</si>
  <si>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</si>
  <si>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</si>
  <si>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</si>
  <si>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</si>
  <si>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</si>
  <si>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</si>
  <si>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</si>
  <si>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</si>
  <si>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</si>
  <si>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</si>
  <si>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</si>
  <si>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</si>
  <si>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</si>
  <si>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</si>
  <si>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</si>
  <si>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</si>
  <si>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</si>
  <si>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</si>
  <si>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</si>
  <si>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</si>
  <si>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</si>
  <si>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</si>
  <si>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</si>
  <si>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</si>
  <si>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</si>
  <si>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</si>
  <si>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</si>
  <si>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</si>
  <si>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</si>
  <si>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</si>
  <si>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</si>
  <si>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</si>
  <si>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</si>
  <si>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</si>
  <si>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</si>
  <si>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</si>
  <si>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</si>
  <si>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</si>
  <si>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</si>
  <si>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</si>
  <si>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</si>
  <si>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</si>
  <si>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</si>
  <si>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</si>
  <si>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</si>
  <si>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</si>
  <si>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</si>
  <si>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</si>
  <si>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</si>
  <si>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</si>
  <si>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</si>
  <si>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</si>
  <si>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</si>
  <si>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</si>
  <si>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</si>
  <si>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</si>
  <si>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</si>
  <si>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</si>
  <si>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</si>
  <si>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</si>
  <si>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</si>
  <si>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</si>
  <si>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</si>
  <si>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</si>
  <si>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</si>
  <si>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</si>
  <si>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</si>
  <si>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</si>
  <si>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</si>
  <si>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</si>
  <si>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</si>
  <si>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</si>
  <si>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</si>
  <si>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</si>
  <si>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</si>
  <si>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</si>
  <si>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</si>
  <si>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</si>
  <si>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</si>
  <si>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</si>
  <si>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</si>
  <si>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</si>
  <si>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</si>
  <si>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</si>
  <si>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</si>
  <si>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</si>
  <si>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</si>
  <si>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</si>
  <si>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</si>
  <si>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</si>
  <si>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</si>
  <si>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</si>
  <si>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</si>
  <si>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</si>
  <si>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</si>
  <si>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</si>
  <si>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</si>
  <si>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</si>
  <si>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</si>
  <si>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</si>
  <si>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</si>
  <si>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</si>
  <si>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</si>
  <si>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</si>
  <si>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</si>
  <si>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</si>
  <si>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</si>
  <si>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</si>
  <si>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</si>
  <si>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</si>
  <si>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</si>
  <si>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</si>
  <si>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</si>
  <si>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</si>
  <si>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</si>
  <si>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</si>
  <si>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</si>
  <si>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</si>
  <si>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</si>
  <si>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</si>
  <si>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</si>
  <si>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</si>
  <si>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</si>
  <si>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</si>
  <si>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</si>
  <si>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</si>
  <si>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</si>
  <si>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</si>
  <si>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</si>
  <si>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</si>
  <si>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</si>
  <si>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</si>
  <si>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</si>
  <si>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</si>
  <si>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</si>
  <si>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</si>
  <si>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</si>
  <si>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</si>
  <si>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</si>
  <si>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</si>
  <si>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</si>
  <si>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</si>
  <si>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</si>
  <si>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</si>
  <si>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</si>
  <si>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</si>
  <si>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</si>
  <si>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</si>
  <si>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</si>
  <si>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</si>
  <si>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</si>
  <si>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</si>
  <si>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</si>
  <si>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</si>
  <si>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</si>
  <si>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</si>
  <si>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</si>
  <si>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</si>
  <si>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</si>
  <si>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</si>
  <si>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</si>
  <si>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</si>
  <si>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</si>
  <si>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</si>
  <si>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</si>
  <si>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</si>
  <si>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</si>
  <si>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</si>
  <si>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</si>
  <si>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</si>
  <si>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</si>
  <si>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</si>
  <si>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</si>
  <si>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</si>
  <si>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</si>
  <si>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</si>
  <si>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</si>
  <si>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</si>
  <si>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</si>
  <si>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</si>
  <si>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</si>
  <si>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</si>
  <si>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</si>
  <si>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</si>
  <si>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</si>
  <si>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</si>
  <si>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</si>
  <si>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</si>
  <si>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</si>
  <si>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</si>
  <si>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</si>
  <si>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</si>
  <si>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</si>
  <si>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</si>
  <si>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</si>
  <si>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</si>
  <si>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</si>
  <si>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</si>
  <si>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</si>
  <si>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</si>
  <si>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</si>
  <si>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</si>
  <si>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</si>
  <si>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</si>
  <si>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</si>
  <si>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</si>
  <si>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</si>
  <si>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</si>
  <si>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</si>
  <si>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</si>
  <si>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</si>
  <si>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</si>
  <si>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</si>
  <si>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</si>
  <si>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</si>
  <si>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</si>
  <si>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</si>
  <si>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</si>
  <si>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</si>
  <si>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</si>
  <si>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</si>
  <si>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</si>
  <si>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</si>
  <si>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</si>
  <si>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</si>
  <si>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</si>
  <si>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</si>
  <si>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</si>
  <si>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</si>
  <si>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</si>
  <si>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</si>
  <si>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</si>
  <si>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</si>
  <si>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</si>
  <si>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</si>
  <si>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</si>
  <si>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</si>
  <si>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</si>
  <si>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</si>
  <si>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</si>
  <si>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</si>
  <si>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</si>
  <si>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</si>
  <si>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</si>
  <si>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</si>
  <si>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</si>
  <si>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</si>
  <si>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</si>
  <si>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</si>
  <si>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</si>
  <si>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</si>
  <si>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</si>
  <si>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</si>
  <si>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</si>
  <si>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</si>
  <si>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</si>
  <si>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</si>
  <si>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</si>
  <si>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</si>
  <si>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</si>
  <si>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</si>
  <si>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</si>
  <si>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</si>
  <si>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</si>
  <si>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</si>
  <si>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</si>
  <si>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</si>
  <si>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</si>
  <si>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</si>
  <si>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</si>
  <si>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</si>
  <si>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</si>
  <si>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</si>
  <si>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</si>
  <si>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</si>
  <si>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</si>
  <si>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</si>
  <si>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</si>
  <si>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</si>
  <si>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</si>
  <si>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</si>
  <si>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</si>
  <si>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</si>
  <si>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</si>
  <si>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</si>
  <si>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</si>
  <si>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</si>
  <si>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</si>
  <si>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</si>
  <si>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</si>
  <si>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</si>
  <si>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</si>
  <si>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</si>
  <si>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</si>
  <si>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</si>
  <si>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</si>
  <si>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</si>
  <si>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</si>
  <si>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</si>
  <si>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</si>
  <si>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</si>
  <si>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</si>
  <si>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</si>
  <si>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</si>
  <si>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</si>
  <si>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</si>
  <si>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</si>
  <si>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</si>
  <si>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</si>
  <si>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</si>
  <si>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</si>
  <si>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</si>
  <si>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</si>
  <si>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</si>
  <si>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</si>
  <si>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</si>
  <si>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</si>
  <si>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</si>
  <si>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</si>
  <si>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</si>
  <si>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</si>
  <si>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</si>
  <si>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</si>
  <si>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</si>
  <si>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</si>
  <si>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</si>
  <si>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</si>
  <si>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</si>
  <si>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</si>
  <si>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</si>
  <si>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</si>
  <si>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</si>
  <si>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</si>
  <si>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</si>
  <si>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</si>
  <si>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</si>
  <si>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</si>
  <si>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</si>
  <si>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</si>
  <si>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</si>
  <si>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</si>
  <si>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</si>
  <si>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</si>
  <si>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</si>
  <si>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</si>
  <si>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</si>
  <si>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</si>
  <si>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</si>
  <si>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</si>
  <si>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</si>
  <si>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</si>
  <si>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</si>
  <si>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</si>
  <si>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</si>
  <si>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</si>
  <si>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</si>
  <si>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</si>
  <si>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</si>
  <si>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</si>
  <si>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</si>
  <si>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</si>
  <si>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</si>
  <si>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</si>
  <si>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</si>
  <si>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</si>
  <si>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</si>
  <si>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</si>
  <si>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</si>
  <si>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</si>
  <si>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</si>
  <si>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</si>
  <si>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</si>
  <si>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</si>
  <si>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</si>
  <si>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</si>
  <si>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</si>
  <si>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</si>
  <si>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</si>
  <si>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</si>
  <si>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</si>
  <si>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</si>
  <si>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</si>
  <si>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</si>
  <si>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</si>
  <si>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</si>
  <si>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</si>
  <si>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</si>
  <si>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</si>
  <si>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</si>
  <si>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</si>
  <si>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</si>
  <si>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</si>
  <si>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</si>
  <si>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</si>
  <si>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</si>
  <si>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</si>
  <si>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</si>
  <si>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</si>
  <si>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</si>
  <si>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</si>
  <si>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</si>
  <si>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</si>
  <si>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</si>
  <si>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</si>
  <si>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</si>
  <si>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</si>
  <si>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</si>
  <si>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</si>
  <si>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</si>
  <si>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</si>
  <si>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</si>
  <si>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</si>
  <si>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</si>
  <si>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</si>
  <si>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</si>
  <si>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</si>
  <si>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</si>
  <si>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</si>
  <si>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</si>
  <si>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</si>
  <si>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</si>
  <si>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</si>
  <si>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</si>
  <si>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</si>
  <si>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</si>
  <si>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</si>
  <si>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</si>
  <si>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</si>
  <si>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</si>
  <si>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</si>
  <si>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</si>
  <si>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</si>
  <si>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</si>
  <si>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</si>
  <si>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</si>
  <si>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</si>
  <si>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</si>
  <si>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</si>
  <si>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</si>
  <si>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</si>
  <si>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</si>
  <si>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</si>
  <si>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</si>
  <si>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</si>
  <si>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</si>
  <si>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</si>
  <si>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</si>
  <si>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</si>
  <si>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</si>
  <si>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</si>
  <si>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</si>
  <si>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</si>
  <si>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</si>
  <si>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</si>
  <si>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</si>
  <si>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</si>
  <si>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</si>
  <si>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</si>
  <si>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</si>
  <si>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</si>
  <si>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</si>
  <si>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</si>
  <si>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</si>
  <si>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</si>
  <si>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</si>
  <si>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</si>
  <si>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</si>
  <si>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</si>
  <si>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</si>
  <si>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</si>
  <si>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</si>
  <si>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</si>
  <si>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</si>
  <si>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</si>
  <si>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</si>
  <si>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</si>
  <si>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</si>
  <si>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</si>
  <si>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</si>
  <si>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</si>
  <si>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</si>
  <si>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</si>
  <si>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</si>
  <si>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</si>
  <si>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</si>
  <si>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</si>
  <si>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</si>
  <si>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</si>
  <si>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</si>
  <si>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</si>
  <si>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</si>
  <si>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</si>
  <si>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</si>
  <si>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</si>
  <si>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</si>
  <si>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</si>
  <si>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</si>
  <si>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</si>
  <si>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</si>
  <si>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</si>
  <si>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</si>
  <si>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</si>
  <si>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</si>
  <si>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</si>
  <si>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</si>
  <si>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</si>
  <si>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</si>
  <si>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</si>
  <si>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</si>
  <si>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</si>
  <si>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</si>
  <si>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</si>
  <si>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</si>
  <si>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</si>
  <si>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</si>
  <si>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</si>
  <si>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</si>
  <si>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</si>
  <si>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</si>
  <si>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</si>
  <si>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</si>
  <si>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</si>
  <si>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</si>
  <si>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</si>
  <si>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</si>
  <si>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</si>
  <si>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</si>
  <si>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</si>
  <si>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</si>
  <si>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</si>
  <si>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</si>
  <si>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</si>
  <si>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</si>
  <si>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</si>
  <si>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</si>
  <si>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</si>
  <si>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</si>
  <si>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</si>
  <si>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</si>
  <si>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</si>
  <si>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</si>
  <si>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</si>
  <si>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</si>
  <si>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</si>
  <si>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</si>
  <si>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</si>
  <si>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</si>
  <si>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</si>
  <si>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</si>
  <si>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</si>
  <si>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</si>
  <si>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</si>
  <si>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</si>
  <si>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</si>
  <si>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</si>
  <si>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</si>
  <si>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</si>
  <si>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</si>
  <si>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</si>
  <si>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</si>
  <si>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</si>
  <si>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</si>
  <si>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</si>
  <si>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</si>
  <si>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</si>
  <si>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</si>
  <si>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</si>
  <si>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</si>
  <si>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</si>
  <si>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</si>
  <si>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</si>
  <si>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</si>
  <si>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</si>
  <si>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</si>
  <si>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</si>
  <si>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</si>
  <si>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</si>
  <si>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</si>
  <si>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</si>
  <si>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</si>
  <si>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</si>
  <si>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</si>
  <si>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</si>
  <si>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</si>
  <si>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</si>
  <si>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</si>
  <si>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</si>
  <si>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</si>
  <si>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</si>
  <si>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</si>
  <si>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</si>
  <si>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</si>
  <si>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</si>
  <si>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</si>
  <si>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</si>
  <si>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</si>
  <si>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</si>
  <si>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</si>
  <si>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</si>
  <si>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</si>
  <si>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</si>
  <si>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</si>
  <si>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</si>
  <si>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</si>
  <si>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</si>
  <si>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</si>
  <si>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</si>
  <si>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</si>
  <si>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</si>
  <si>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</si>
  <si>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</si>
  <si>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</si>
  <si>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</si>
  <si>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</si>
  <si>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</si>
  <si>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</si>
  <si>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</si>
  <si>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</si>
  <si>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</si>
  <si>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</si>
  <si>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</si>
  <si>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</si>
  <si>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</si>
  <si>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</si>
  <si>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</si>
  <si>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</si>
  <si>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</si>
  <si>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</si>
  <si>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</si>
  <si>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</si>
  <si>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</si>
  <si>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</si>
  <si>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</si>
  <si>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</si>
  <si>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</si>
  <si>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</si>
  <si>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</si>
  <si>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</si>
  <si>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</si>
  <si>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</si>
  <si>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</si>
  <si>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</si>
  <si>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</si>
  <si>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</si>
  <si>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</si>
  <si>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</si>
  <si>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</si>
  <si>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</si>
  <si>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</si>
  <si>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</si>
  <si>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</si>
  <si>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</si>
  <si>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</si>
  <si>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</si>
  <si>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</si>
  <si>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</si>
  <si>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</si>
  <si>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</si>
  <si>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</si>
  <si>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</si>
  <si>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</si>
  <si>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</si>
  <si>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</si>
  <si>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</si>
  <si>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</si>
  <si>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</si>
  <si>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</si>
  <si>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</si>
  <si>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</si>
  <si>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</si>
  <si>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</si>
  <si>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</si>
  <si>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</si>
  <si>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</si>
  <si>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</si>
  <si>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</si>
  <si>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</si>
  <si>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</si>
  <si>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</si>
  <si>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</si>
  <si>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</si>
  <si>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</si>
  <si>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</si>
  <si>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</si>
  <si>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</si>
  <si>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</si>
  <si>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</si>
  <si>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</si>
  <si>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</si>
  <si>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</si>
  <si>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</si>
  <si>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</si>
  <si>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</si>
  <si>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</si>
  <si>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</si>
  <si>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</si>
  <si>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</si>
  <si>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</si>
  <si>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</si>
  <si>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</si>
  <si>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</si>
  <si>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</si>
  <si>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</si>
  <si>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</si>
  <si>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</si>
  <si>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</si>
  <si>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</si>
  <si>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</si>
  <si>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</si>
  <si>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</si>
  <si>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</si>
  <si>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</si>
  <si>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</si>
  <si>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</si>
  <si>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</si>
  <si>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</si>
  <si>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</si>
  <si>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</si>
  <si>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</si>
  <si>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</si>
  <si>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</si>
  <si>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</si>
  <si>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</si>
  <si>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</si>
  <si>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</si>
  <si>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</si>
  <si>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</si>
  <si>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</si>
  <si>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</si>
  <si>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</si>
  <si>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</si>
  <si>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</si>
  <si>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</si>
  <si>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</si>
  <si>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</si>
  <si>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</si>
  <si>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</si>
  <si>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</si>
  <si>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</si>
  <si>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</si>
  <si>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</si>
  <si>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</si>
  <si>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</si>
  <si>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</si>
  <si>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</si>
  <si>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</si>
  <si>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</si>
  <si>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</si>
  <si>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</si>
  <si>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</si>
  <si>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</si>
  <si>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</si>
  <si>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</si>
  <si>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</si>
  <si>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</si>
  <si>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</si>
  <si>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</si>
  <si>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</si>
  <si>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</si>
  <si>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</si>
  <si>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</si>
  <si>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</si>
  <si>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</si>
  <si>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</si>
  <si>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</si>
  <si>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</si>
  <si>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</si>
  <si>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</si>
  <si>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</si>
  <si>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</si>
  <si>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</si>
  <si>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</si>
  <si>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</si>
  <si>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</si>
  <si>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</si>
  <si>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</si>
  <si>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</si>
  <si>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</si>
  <si>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</si>
  <si>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</si>
  <si>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</si>
  <si>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</si>
  <si>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</si>
  <si>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</si>
  <si>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</si>
  <si>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</si>
  <si>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</si>
  <si>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</si>
  <si>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</si>
  <si>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</si>
  <si>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</si>
  <si>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</si>
  <si>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</si>
  <si>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</si>
  <si>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</si>
  <si>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</si>
  <si>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</si>
  <si>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</si>
  <si>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</si>
  <si>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</si>
  <si>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</si>
  <si>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</si>
  <si>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</si>
  <si>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</si>
  <si>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</si>
  <si>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</si>
  <si>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</si>
  <si>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</si>
  <si>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</si>
  <si>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</si>
  <si>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</si>
  <si>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</si>
  <si>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</si>
  <si>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</si>
  <si>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</si>
  <si>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</si>
  <si>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</si>
  <si>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</si>
  <si>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</si>
  <si>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</si>
  <si>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</si>
  <si>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</si>
  <si>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</si>
  <si>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</si>
  <si>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</si>
  <si>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</si>
  <si>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</si>
  <si>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</si>
  <si>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</si>
  <si>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</si>
  <si>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</si>
  <si>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</si>
  <si>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</si>
  <si>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</si>
  <si>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</si>
  <si>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</si>
  <si>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</si>
  <si>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</si>
  <si>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</si>
  <si>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</si>
  <si>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</si>
  <si>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</si>
  <si>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</si>
  <si>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</si>
  <si>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</si>
  <si>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</si>
  <si>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</si>
  <si>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</si>
  <si>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</si>
  <si>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</si>
  <si>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</si>
  <si>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</si>
  <si>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</si>
  <si>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</si>
  <si>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</si>
  <si>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</si>
  <si>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</si>
  <si>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</si>
  <si>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</si>
  <si>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</si>
  <si>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</si>
  <si>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</si>
  <si>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</si>
  <si>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</si>
  <si>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</si>
  <si>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</si>
  <si>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</si>
  <si>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</si>
  <si>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</si>
  <si>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</si>
  <si>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</si>
  <si>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</si>
  <si>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</si>
  <si>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</si>
  <si>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</si>
  <si>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</si>
  <si>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</si>
  <si>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</si>
  <si>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</si>
  <si>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</si>
  <si>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</si>
  <si>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</si>
  <si>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</si>
  <si>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</si>
  <si>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</si>
  <si>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</si>
  <si>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</si>
  <si>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</si>
  <si>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</si>
  <si>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</si>
  <si>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</si>
  <si>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</si>
  <si>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</si>
  <si>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</si>
  <si>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</si>
  <si>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</si>
  <si>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</si>
  <si>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</si>
  <si>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</si>
  <si>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</si>
  <si>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</si>
  <si>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</si>
  <si>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</si>
  <si>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</si>
  <si>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</si>
  <si>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</si>
  <si>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</si>
  <si>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</si>
  <si>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</si>
  <si>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</si>
  <si>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</si>
  <si>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</si>
  <si>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</si>
  <si>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</si>
  <si>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</si>
  <si>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</si>
  <si>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</si>
  <si>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</si>
  <si>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</si>
  <si>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</si>
  <si>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</si>
  <si>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</si>
  <si>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</si>
  <si>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</si>
  <si>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</si>
  <si>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</si>
  <si>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</si>
  <si>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</si>
  <si>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</si>
  <si>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</si>
  <si>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</si>
  <si>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</si>
  <si>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</si>
  <si>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</si>
  <si>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</si>
  <si>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</si>
  <si>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</si>
  <si>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</si>
  <si>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</si>
  <si>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</si>
  <si>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</si>
  <si>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</si>
  <si>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</si>
  <si>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</si>
  <si>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</si>
  <si>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</si>
  <si>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</si>
  <si>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</si>
  <si>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</si>
  <si>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</si>
  <si>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</si>
  <si>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</si>
  <si>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</si>
  <si>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</si>
  <si>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</si>
  <si>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</si>
  <si>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</si>
  <si>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</si>
  <si>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</si>
  <si>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</si>
  <si>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</si>
  <si>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</si>
  <si>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</si>
  <si>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</si>
  <si>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</si>
  <si>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</si>
  <si>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</si>
  <si>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</si>
  <si>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</si>
  <si>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</si>
  <si>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</si>
  <si>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</si>
  <si>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</si>
  <si>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</si>
  <si>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</si>
  <si>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</si>
  <si>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</si>
  <si>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</si>
  <si>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</si>
  <si>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</si>
  <si>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</si>
  <si>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</si>
  <si>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</si>
  <si>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</si>
  <si>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</si>
  <si>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</si>
  <si>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</si>
  <si>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</si>
  <si>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</si>
  <si>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</si>
  <si>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</si>
  <si>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</si>
  <si>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</si>
  <si>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</si>
  <si>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</si>
  <si>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</si>
  <si>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</si>
  <si>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</si>
  <si>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</si>
  <si>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</si>
  <si>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</si>
  <si>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</si>
  <si>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</si>
  <si>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</si>
  <si>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</si>
  <si>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</si>
  <si>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</si>
  <si>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</si>
  <si>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</si>
  <si>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</si>
  <si>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</si>
  <si>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</si>
  <si>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</si>
  <si>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</si>
  <si>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</si>
  <si>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</si>
  <si>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</si>
  <si>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</si>
  <si>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</si>
  <si>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</si>
  <si>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</si>
  <si>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</si>
  <si>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</si>
  <si>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</si>
  <si>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</si>
  <si>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</si>
  <si>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</si>
  <si>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</si>
  <si>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</si>
  <si>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</si>
  <si>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</si>
  <si>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</si>
  <si>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</si>
  <si>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</si>
  <si>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</si>
  <si>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</si>
  <si>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</si>
  <si>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</si>
  <si>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</si>
  <si>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</si>
  <si>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</si>
  <si>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</si>
  <si>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</si>
  <si>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</si>
  <si>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</si>
  <si>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</si>
  <si>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</si>
  <si>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</si>
  <si>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</si>
  <si>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</si>
  <si>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</si>
  <si>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</si>
  <si>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</si>
  <si>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</si>
  <si>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</si>
  <si>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</si>
  <si>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</si>
  <si>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</si>
  <si>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</si>
  <si>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</si>
  <si>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</si>
  <si>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</si>
  <si>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</si>
  <si>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</si>
  <si>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</si>
  <si>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</si>
  <si>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</si>
  <si>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</si>
  <si>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</si>
  <si>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</si>
  <si>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</si>
  <si>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</si>
  <si>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</si>
  <si>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</si>
  <si>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</si>
  <si>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</si>
  <si>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</si>
  <si>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</si>
  <si>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</si>
  <si>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</si>
  <si>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</si>
  <si>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</si>
  <si>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</si>
  <si>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</si>
  <si>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</si>
  <si>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</si>
  <si>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</si>
  <si>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</si>
  <si>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</si>
  <si>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</si>
  <si>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</si>
  <si>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</si>
  <si>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</si>
  <si>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</si>
  <si>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</si>
  <si>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</si>
  <si>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</si>
  <si>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</si>
  <si>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</si>
  <si>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</si>
  <si>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</si>
  <si>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</si>
  <si>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</si>
  <si>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</si>
  <si>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</si>
  <si>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</si>
  <si>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</si>
  <si>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</si>
  <si>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</si>
  <si>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</si>
  <si>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</si>
  <si>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</si>
  <si>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</si>
  <si>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</si>
  <si>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</si>
  <si>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</si>
  <si>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</si>
  <si>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</si>
  <si>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</si>
  <si>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</si>
  <si>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</si>
  <si>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</si>
  <si>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</si>
  <si>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</si>
  <si>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</si>
  <si>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</si>
  <si>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</si>
  <si>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</si>
  <si>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</si>
  <si>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</si>
  <si>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</si>
  <si>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</si>
  <si>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</si>
  <si>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</si>
  <si>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</si>
  <si>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</si>
  <si>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</si>
  <si>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</si>
  <si>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</si>
  <si>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</si>
  <si>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</si>
  <si>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</si>
  <si>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</si>
  <si>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</si>
  <si>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</si>
  <si>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</si>
  <si>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</si>
  <si>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</si>
  <si>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</si>
  <si>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</si>
  <si>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</si>
  <si>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</si>
  <si>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</si>
  <si>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</si>
  <si>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</si>
  <si>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</si>
  <si>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</si>
  <si>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</si>
  <si>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</si>
  <si>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</si>
  <si>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</si>
  <si>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</si>
  <si>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</si>
  <si>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</si>
  <si>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</si>
  <si>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</si>
  <si>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</si>
  <si>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</si>
  <si>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</si>
  <si>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</si>
  <si>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</si>
  <si>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</si>
  <si>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</si>
  <si>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</si>
  <si>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</si>
  <si>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</si>
  <si>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</si>
  <si>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</si>
  <si>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</si>
  <si>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</si>
  <si>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</si>
  <si>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</si>
  <si>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</si>
  <si>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</si>
  <si>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</si>
  <si>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</si>
  <si>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</si>
  <si>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</si>
  <si>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</si>
  <si>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</si>
  <si>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</si>
  <si>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</si>
  <si>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</si>
  <si>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</si>
  <si>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</si>
  <si>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</si>
  <si>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</si>
  <si>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</si>
  <si>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</si>
  <si>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</si>
  <si>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</si>
  <si>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</si>
  <si>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</si>
  <si>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</si>
  <si>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</si>
  <si>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</si>
  <si>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</si>
  <si>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</si>
  <si>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</si>
  <si>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</si>
  <si>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</si>
  <si>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</si>
  <si>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</si>
  <si>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</si>
  <si>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</si>
  <si>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</si>
  <si>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</si>
  <si>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</si>
  <si>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</si>
  <si>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</si>
  <si>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</si>
  <si>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</si>
  <si>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</si>
  <si>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</si>
  <si>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</si>
  <si>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</si>
  <si>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</si>
  <si>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</si>
  <si>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</si>
  <si>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</si>
  <si>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</si>
  <si>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</si>
  <si>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</si>
  <si>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</si>
  <si>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</si>
  <si>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</si>
  <si>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</si>
  <si>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</si>
  <si>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</si>
  <si>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</si>
  <si>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</si>
  <si>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</si>
  <si>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</si>
  <si>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</si>
  <si>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</si>
  <si>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</si>
  <si>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</si>
  <si>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</si>
  <si>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</si>
  <si>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</si>
  <si>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</si>
  <si>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</si>
  <si>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</si>
  <si>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</si>
  <si>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</si>
  <si>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</si>
  <si>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</si>
  <si>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</si>
  <si>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</si>
  <si>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</si>
  <si>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</si>
  <si>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</si>
  <si>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</si>
  <si>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</si>
  <si>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</si>
  <si>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</si>
  <si>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</si>
  <si>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</si>
  <si>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</si>
  <si>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</si>
  <si>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</si>
  <si>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</si>
  <si>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</si>
  <si>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</si>
  <si>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</si>
  <si>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</si>
  <si>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</si>
  <si>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</si>
  <si>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</si>
  <si>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</si>
  <si>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</si>
  <si>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</si>
  <si>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</si>
  <si>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</si>
  <si>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</si>
  <si>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</si>
  <si>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</si>
  <si>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</si>
  <si>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</si>
  <si>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</si>
  <si>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</si>
  <si>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</si>
  <si>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</si>
  <si>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</si>
  <si>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</si>
  <si>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</si>
  <si>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</si>
  <si>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</si>
  <si>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</si>
  <si>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</si>
  <si>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</si>
  <si>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</si>
  <si>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</si>
  <si>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</si>
  <si>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</si>
  <si>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</si>
  <si>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</si>
  <si>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</si>
  <si>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</si>
  <si>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</si>
  <si>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</si>
  <si>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</si>
  <si>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</si>
  <si>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</si>
  <si>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</si>
  <si>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</si>
  <si>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</si>
  <si>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</si>
  <si>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</si>
  <si>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</si>
  <si>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</si>
  <si>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</si>
  <si>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</si>
  <si>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</si>
  <si>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</si>
  <si>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</si>
  <si>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</si>
  <si>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</si>
  <si>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</si>
  <si>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</si>
  <si>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</si>
  <si>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</si>
  <si>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</si>
  <si>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</si>
  <si>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</si>
  <si>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</si>
  <si>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</si>
  <si>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</si>
  <si>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</si>
  <si>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</si>
  <si>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</si>
  <si>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</si>
  <si>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</si>
  <si>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</si>
  <si>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</si>
  <si>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</si>
  <si>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</si>
  <si>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</si>
  <si>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</si>
  <si>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</si>
  <si>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</si>
  <si>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</si>
  <si>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</si>
  <si>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</si>
  <si>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</si>
  <si>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</si>
  <si>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</si>
  <si>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</si>
  <si>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</si>
  <si>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</si>
  <si>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</si>
  <si>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</si>
  <si>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</si>
  <si>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</si>
  <si>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</si>
  <si>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</si>
  <si>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</si>
  <si>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</si>
  <si>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</si>
  <si>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</si>
  <si>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</si>
  <si>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</si>
  <si>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</si>
  <si>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</si>
  <si>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</si>
  <si>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</si>
  <si>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</si>
  <si>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</si>
  <si>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</si>
  <si>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</si>
  <si>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</si>
  <si>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</si>
  <si>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</si>
  <si>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</si>
  <si>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</si>
  <si>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</si>
  <si>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</si>
  <si>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</si>
  <si>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</si>
  <si>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</si>
  <si>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</si>
  <si>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</si>
  <si>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</si>
  <si>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</si>
  <si>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</si>
  <si>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</si>
  <si>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</si>
  <si>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</si>
  <si>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</si>
  <si>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</si>
  <si>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</si>
  <si>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</si>
  <si>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</si>
  <si>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</si>
  <si>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</si>
  <si>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</si>
  <si>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</si>
  <si>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</si>
  <si>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</si>
  <si>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</si>
  <si>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</si>
  <si>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</si>
  <si>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</si>
  <si>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</si>
  <si>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</si>
  <si>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</si>
  <si>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</si>
  <si>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</si>
  <si>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</si>
  <si>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</si>
  <si>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</si>
  <si>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</si>
  <si>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</si>
  <si>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</si>
  <si>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</si>
  <si>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</si>
  <si>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</si>
  <si>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</si>
  <si>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</si>
  <si>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</si>
  <si>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</si>
  <si>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</si>
  <si>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</si>
  <si>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</si>
  <si>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</si>
  <si>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</si>
  <si>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</si>
  <si>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</si>
  <si>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</si>
  <si>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</si>
  <si>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</si>
  <si>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</si>
  <si>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</si>
  <si>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</si>
  <si>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</si>
  <si>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</si>
  <si>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</si>
  <si>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</si>
  <si>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</si>
  <si>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</si>
  <si>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</si>
  <si>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</si>
  <si>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</si>
  <si>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</si>
  <si>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</si>
  <si>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</si>
  <si>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</si>
  <si>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</si>
  <si>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</si>
  <si>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</si>
  <si>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</si>
  <si>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</si>
  <si>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</si>
  <si>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</si>
  <si>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</si>
  <si>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</si>
  <si>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</si>
  <si>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</si>
  <si>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</si>
  <si>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</si>
  <si>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</si>
  <si>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</si>
  <si>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</si>
  <si>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</si>
  <si>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</si>
  <si>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</si>
  <si>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</si>
  <si>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</si>
  <si>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</si>
  <si>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</si>
  <si>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</si>
  <si>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</si>
  <si>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</si>
  <si>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</si>
  <si>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</si>
  <si>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</si>
  <si>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</si>
  <si>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</si>
  <si>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</si>
  <si>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</si>
  <si>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</si>
  <si>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</si>
  <si>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</si>
  <si>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</si>
  <si>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</si>
  <si>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</si>
  <si>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</si>
  <si>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</si>
  <si>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</si>
  <si>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</si>
  <si>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</si>
  <si>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</si>
  <si>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</si>
  <si>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</si>
  <si>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</si>
  <si>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</si>
  <si>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</si>
  <si>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</si>
  <si>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</si>
  <si>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</si>
  <si>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</si>
  <si>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</si>
  <si>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</si>
  <si>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</si>
  <si>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</si>
  <si>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</si>
  <si>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</si>
  <si>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</si>
  <si>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</si>
  <si>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</si>
  <si>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</si>
  <si>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</si>
  <si>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</si>
  <si>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</si>
  <si>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</si>
  <si>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</si>
  <si>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</si>
  <si>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</si>
  <si>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</si>
  <si>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</si>
  <si>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</si>
  <si>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</si>
  <si>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</si>
  <si>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</si>
  <si>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</si>
  <si>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</si>
  <si>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</si>
  <si>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</si>
  <si>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</si>
  <si>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</si>
  <si>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</si>
  <si>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</si>
  <si>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</si>
  <si>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</si>
  <si>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</si>
  <si>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</si>
  <si>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</si>
  <si>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</si>
  <si>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</si>
  <si>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</si>
  <si>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</si>
  <si>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</si>
  <si>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</si>
  <si>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</si>
  <si>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</si>
  <si>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</si>
  <si>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</si>
  <si>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</si>
  <si>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</si>
  <si>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</si>
  <si>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</si>
  <si>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</si>
  <si>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</si>
  <si>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</si>
  <si>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</si>
  <si>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</si>
  <si>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</si>
  <si>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</si>
  <si>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</si>
  <si>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</si>
  <si>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</si>
  <si>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</si>
  <si>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</si>
  <si>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</si>
  <si>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</si>
  <si>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</si>
  <si>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</si>
  <si>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</si>
  <si>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</si>
  <si>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</si>
  <si>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</si>
  <si>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</si>
  <si>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</si>
  <si>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</si>
  <si>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</si>
  <si>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</si>
  <si>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</si>
  <si>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</si>
  <si>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</si>
  <si>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</si>
  <si>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</si>
  <si>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</si>
  <si>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</si>
  <si>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</si>
  <si>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</si>
  <si>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</si>
  <si>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</si>
  <si>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</si>
  <si>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</si>
  <si>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</si>
  <si>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</si>
  <si>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</si>
  <si>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</si>
  <si>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</si>
  <si>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</si>
  <si>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</si>
  <si>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</si>
  <si>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</si>
  <si>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</si>
  <si>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</si>
  <si>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</si>
  <si>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</si>
  <si>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</si>
  <si>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</si>
  <si>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</si>
  <si>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</si>
  <si>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</si>
  <si>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</si>
  <si>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</si>
  <si>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</si>
  <si>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</si>
  <si>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</si>
  <si>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</si>
  <si>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</si>
  <si>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</si>
  <si>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</si>
  <si>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</si>
  <si>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</si>
  <si>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</si>
  <si>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</si>
  <si>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</si>
  <si>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</si>
  <si>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</si>
  <si>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</si>
  <si>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</si>
  <si>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</si>
  <si>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</si>
  <si>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</si>
  <si>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</si>
  <si>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</si>
  <si>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</si>
  <si>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</si>
  <si>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</si>
  <si>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</si>
  <si>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</si>
  <si>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</si>
  <si>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</si>
  <si>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</si>
  <si>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</si>
  <si>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</si>
  <si>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</si>
  <si>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</si>
  <si>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</si>
  <si>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</si>
  <si>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</si>
  <si>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</si>
  <si>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</si>
  <si>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</si>
  <si>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</si>
  <si>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</si>
  <si>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</si>
  <si>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</si>
  <si>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</si>
  <si>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</si>
  <si>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</si>
  <si>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</si>
  <si>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</si>
  <si>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</si>
  <si>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</si>
  <si>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</si>
  <si>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</si>
  <si>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</si>
  <si>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</si>
  <si>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</si>
  <si>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</si>
  <si>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</si>
  <si>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</si>
  <si>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</si>
  <si>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</si>
  <si>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</si>
  <si>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</si>
  <si>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</si>
  <si>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</si>
  <si>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</si>
  <si>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</si>
  <si>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</si>
  <si>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</si>
  <si>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</si>
  <si>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</si>
  <si>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</si>
  <si>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</si>
  <si>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</si>
  <si>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</si>
  <si>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</si>
  <si>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</si>
  <si>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</si>
  <si>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</si>
  <si>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</si>
  <si>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</si>
  <si>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</si>
  <si>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</si>
  <si>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</si>
  <si>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</si>
  <si>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</si>
  <si>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</si>
  <si>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</si>
  <si>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</si>
  <si>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</si>
  <si>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</si>
  <si>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</si>
  <si>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</si>
  <si>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</si>
  <si>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</si>
  <si>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</si>
  <si>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</si>
  <si>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</si>
  <si>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</si>
  <si>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</si>
  <si>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</si>
  <si>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</si>
  <si>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</si>
  <si>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</si>
  <si>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</si>
  <si>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</si>
  <si>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</si>
  <si>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</si>
  <si>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</si>
  <si>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</si>
  <si>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</si>
  <si>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</si>
  <si>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</si>
  <si>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</si>
  <si>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</si>
  <si>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</si>
  <si>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</si>
  <si>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</si>
  <si>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</si>
  <si>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</si>
  <si>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</si>
  <si>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</si>
  <si>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</si>
  <si>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</si>
  <si>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</si>
  <si>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</si>
  <si>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</si>
  <si>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</si>
  <si>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</si>
  <si>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</si>
  <si>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</si>
  <si>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</si>
  <si>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</si>
  <si>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</si>
  <si>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</si>
  <si>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</si>
  <si>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</si>
  <si>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</si>
  <si>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</si>
  <si>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</si>
  <si>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</si>
  <si>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</si>
  <si>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</si>
  <si>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</si>
  <si>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</si>
  <si>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</si>
  <si>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</si>
  <si>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</si>
  <si>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</si>
  <si>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</si>
  <si>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</si>
  <si>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</si>
  <si>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</si>
  <si>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</si>
  <si>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</si>
  <si>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</si>
  <si>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</si>
  <si>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</si>
  <si>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</si>
  <si>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</si>
  <si>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</si>
  <si>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</si>
  <si>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</si>
  <si>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</si>
  <si>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</si>
  <si>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</si>
  <si>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</si>
  <si>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</si>
  <si>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</si>
  <si>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</si>
  <si>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</si>
  <si>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</si>
  <si>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</si>
  <si>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</si>
  <si>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</si>
  <si>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</si>
  <si>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</si>
  <si>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</si>
  <si>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</si>
  <si>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</si>
  <si>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</si>
  <si>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</si>
  <si>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</si>
  <si>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</si>
  <si>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</si>
  <si>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</si>
  <si>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</si>
  <si>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</si>
  <si>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</si>
  <si>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</si>
  <si>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</si>
  <si>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</si>
  <si>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</si>
  <si>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</si>
  <si>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</si>
  <si>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</si>
  <si>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</si>
  <si>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</si>
  <si>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</si>
  <si>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</si>
  <si>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</si>
  <si>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</si>
  <si>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</si>
  <si>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</si>
  <si>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</si>
  <si>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</si>
  <si>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</si>
  <si>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</si>
  <si>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</si>
  <si>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</si>
  <si>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</si>
  <si>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</si>
  <si>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</si>
  <si>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</si>
  <si>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</si>
  <si>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</si>
  <si>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</si>
  <si>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</si>
  <si>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</si>
  <si>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</si>
  <si>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</si>
  <si>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</si>
  <si>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</si>
  <si>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</si>
  <si>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</si>
  <si>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</si>
  <si>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</si>
  <si>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</si>
  <si>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</si>
  <si>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</si>
  <si>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</si>
  <si>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</si>
  <si>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</si>
  <si>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</si>
  <si>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</si>
  <si>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</si>
  <si>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</si>
  <si>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</si>
  <si>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</si>
  <si>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</si>
  <si>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</si>
  <si>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</si>
  <si>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</si>
  <si>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</si>
  <si>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</si>
  <si>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</si>
  <si>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</si>
  <si>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</si>
  <si>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</si>
  <si>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</si>
  <si>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</si>
  <si>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</si>
  <si>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</si>
  <si>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</si>
  <si>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</si>
  <si>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</si>
  <si>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</si>
  <si>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</si>
  <si>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</si>
  <si>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</si>
  <si>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</si>
  <si>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</si>
  <si>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</si>
  <si>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</si>
  <si>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</si>
  <si>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</si>
  <si>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</si>
  <si>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</si>
  <si>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</si>
  <si>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</si>
  <si>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</si>
  <si>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</si>
  <si>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</si>
  <si>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</si>
  <si>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</si>
  <si>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</si>
  <si>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</si>
  <si>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</si>
  <si>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</si>
  <si>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</si>
  <si>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</si>
  <si>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</si>
  <si>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</si>
  <si>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</si>
  <si>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</si>
  <si>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</si>
  <si>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</si>
  <si>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</si>
  <si>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</si>
  <si>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</si>
  <si>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</si>
  <si>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</si>
  <si>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</si>
  <si>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</si>
  <si>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</si>
  <si>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</si>
  <si>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</si>
  <si>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</si>
  <si>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</si>
  <si>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</si>
  <si>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</si>
  <si>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</si>
  <si>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</si>
  <si>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</si>
  <si>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</si>
  <si>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</si>
  <si>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</si>
  <si>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</si>
  <si>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</si>
  <si>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</si>
  <si>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</si>
  <si>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</si>
  <si>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</si>
  <si>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</si>
  <si>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</si>
  <si>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</si>
  <si>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</si>
  <si>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</si>
  <si>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</si>
  <si>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</si>
  <si>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</si>
  <si>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</si>
  <si>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</si>
  <si>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</si>
  <si>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</si>
  <si>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</si>
  <si>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</si>
  <si>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</si>
  <si>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</si>
  <si>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</si>
  <si>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</si>
  <si>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</si>
  <si>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</si>
  <si>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</si>
  <si>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</si>
  <si>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</si>
  <si>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</si>
  <si>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</si>
  <si>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</si>
  <si>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</si>
  <si>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</si>
  <si>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</si>
  <si>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</si>
  <si>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</si>
  <si>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</si>
  <si>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</si>
  <si>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</si>
  <si>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</si>
  <si>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</si>
  <si>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</si>
  <si>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</si>
  <si>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</si>
  <si>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</si>
  <si>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</si>
  <si>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</si>
  <si>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</si>
  <si>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</si>
  <si>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</si>
  <si>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</si>
  <si>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</si>
  <si>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</si>
  <si>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</si>
  <si>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</si>
  <si>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</si>
  <si>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</si>
  <si>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</si>
  <si>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</si>
  <si>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</si>
  <si>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</si>
  <si>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</si>
  <si>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</si>
  <si>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</si>
  <si>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</si>
  <si>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</si>
  <si>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</si>
  <si>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</si>
  <si>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</si>
  <si>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</si>
  <si>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</si>
  <si>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</si>
  <si>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</si>
  <si>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</si>
  <si>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</si>
  <si>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</si>
  <si>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</si>
  <si>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</si>
  <si>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</si>
  <si>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</si>
  <si>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</si>
  <si>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</si>
  <si>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</si>
  <si>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</si>
  <si>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</si>
  <si>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</si>
  <si>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</si>
  <si>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</si>
  <si>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</si>
  <si>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</si>
  <si>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</si>
  <si>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</si>
  <si>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</si>
  <si>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</si>
  <si>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</si>
  <si>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</si>
  <si>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</si>
  <si>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</si>
  <si>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</si>
  <si>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</si>
  <si>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</si>
  <si>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</si>
  <si>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</si>
  <si>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</si>
  <si>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</si>
  <si>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</si>
  <si>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</si>
  <si>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</si>
  <si>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</si>
  <si>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</si>
  <si>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</si>
  <si>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</si>
  <si>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</si>
  <si>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</si>
  <si>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</si>
  <si>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</si>
  <si>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</si>
  <si>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</si>
  <si>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</si>
  <si>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</si>
  <si>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</si>
  <si>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</si>
  <si>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</si>
  <si>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</si>
  <si>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</si>
  <si>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</si>
  <si>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</si>
  <si>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</si>
  <si>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</si>
  <si>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</si>
  <si>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</si>
  <si>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</si>
  <si>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</si>
  <si>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</si>
  <si>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</si>
  <si>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</si>
  <si>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</si>
  <si>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</si>
  <si>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</si>
  <si>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</si>
  <si>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</si>
  <si>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</si>
  <si>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</si>
  <si>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</si>
  <si>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</si>
  <si>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</si>
  <si>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</si>
  <si>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</si>
  <si>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</si>
  <si>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</si>
  <si>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</si>
  <si>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</si>
  <si>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</si>
  <si>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</si>
  <si>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</si>
  <si>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</si>
  <si>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</si>
  <si>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</si>
  <si>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</si>
  <si>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</si>
  <si>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</si>
  <si>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</si>
  <si>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</si>
  <si>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</si>
  <si>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</si>
  <si>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</si>
  <si>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</si>
  <si>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</si>
  <si>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</si>
  <si>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</si>
  <si>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</si>
  <si>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</si>
  <si>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</si>
  <si>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</si>
  <si>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</si>
  <si>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</si>
  <si>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</si>
  <si>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</si>
  <si>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</si>
  <si>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</si>
  <si>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</si>
  <si>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</si>
  <si>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</si>
  <si>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</si>
  <si>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</si>
  <si>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</si>
  <si>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</si>
  <si>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</si>
  <si>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</si>
  <si>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</si>
  <si>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</si>
  <si>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</si>
  <si>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</si>
  <si>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</si>
  <si>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</si>
  <si>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</si>
  <si>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</si>
  <si>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</si>
  <si>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</si>
  <si>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</si>
  <si>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</si>
  <si>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</si>
  <si>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</si>
  <si>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</si>
  <si>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</si>
  <si>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</si>
  <si>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</si>
  <si>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</si>
  <si>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</si>
  <si>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</si>
  <si>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</si>
  <si>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</si>
  <si>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</si>
  <si>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</si>
  <si>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</si>
  <si>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</si>
  <si>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</si>
  <si>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</si>
  <si>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</si>
  <si>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</si>
  <si>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</si>
  <si>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</si>
  <si>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</si>
  <si>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</si>
  <si>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</si>
  <si>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</si>
  <si>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</si>
  <si>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</si>
  <si>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</si>
  <si>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</si>
  <si>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</si>
  <si>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</si>
  <si>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</si>
  <si>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</si>
  <si>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</si>
  <si>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</si>
  <si>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</si>
  <si>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</si>
  <si>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</si>
  <si>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</si>
  <si>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</si>
  <si>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</si>
  <si>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</si>
  <si>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</si>
  <si>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</si>
  <si>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</si>
  <si>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</si>
  <si>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</si>
  <si>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</si>
  <si>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</si>
  <si>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</si>
  <si>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</si>
  <si>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</si>
  <si>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</si>
  <si>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</si>
  <si>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</si>
  <si>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</si>
  <si>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</si>
  <si>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</si>
  <si>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</si>
  <si>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</si>
  <si>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</si>
  <si>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</si>
  <si>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</si>
  <si>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</si>
  <si>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</si>
  <si>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</si>
  <si>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</si>
  <si>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</si>
  <si>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</si>
  <si>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</si>
  <si>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</si>
  <si>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</si>
  <si>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</si>
  <si>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</si>
  <si>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</si>
  <si>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</si>
  <si>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</si>
  <si>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</si>
  <si>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</si>
  <si>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</si>
  <si>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</si>
  <si>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</si>
  <si>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</si>
  <si>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</si>
  <si>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</si>
  <si>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</si>
  <si>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</si>
  <si>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</si>
  <si>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</si>
  <si>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</si>
  <si>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</si>
  <si>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</si>
  <si>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</si>
  <si>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</si>
  <si>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</si>
  <si>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</si>
  <si>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</si>
  <si>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</si>
  <si>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</si>
  <si>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</si>
  <si>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</si>
  <si>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</si>
  <si>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</si>
  <si>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</si>
  <si>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</si>
  <si>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</si>
  <si>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</si>
  <si>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</si>
  <si>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</si>
  <si>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</si>
  <si>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</si>
  <si>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</si>
  <si>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</si>
  <si>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</si>
  <si>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</si>
  <si>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</si>
  <si>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</si>
  <si>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</si>
  <si>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</si>
  <si>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</si>
  <si>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</si>
  <si>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</si>
  <si>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</si>
  <si>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</si>
  <si>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</si>
  <si>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</si>
  <si>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</si>
  <si>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</si>
  <si>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</si>
  <si>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</si>
  <si>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</si>
  <si>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</si>
  <si>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</si>
  <si>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</si>
  <si>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</si>
  <si>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</si>
  <si>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</si>
  <si>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</si>
  <si>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</si>
  <si>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</si>
  <si>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</si>
  <si>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</si>
  <si>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</si>
  <si>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</si>
  <si>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</si>
  <si>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</si>
  <si>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</si>
  <si>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</si>
  <si>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</si>
  <si>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</si>
  <si>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</si>
  <si>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</si>
  <si>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</si>
  <si>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</si>
  <si>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</si>
  <si>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</si>
  <si>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</si>
  <si>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</si>
  <si>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</si>
  <si>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</si>
  <si>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</si>
  <si>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</si>
  <si>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</si>
  <si>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</si>
  <si>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</si>
  <si>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</si>
  <si>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</si>
  <si>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</si>
  <si>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</si>
  <si>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</si>
  <si>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</si>
  <si>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</si>
  <si>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</si>
  <si>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</si>
  <si>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</si>
  <si>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</si>
  <si>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</si>
  <si>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</si>
  <si>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</si>
  <si>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</si>
  <si>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</si>
  <si>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</si>
  <si>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</si>
  <si>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</si>
  <si>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</si>
  <si>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</si>
  <si>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</si>
  <si>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</si>
  <si>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</si>
  <si>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</si>
  <si>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</si>
  <si>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</si>
  <si>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</si>
  <si>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</si>
  <si>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</si>
  <si>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</si>
  <si>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</si>
  <si>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</si>
  <si>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</si>
  <si>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</si>
  <si>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</si>
  <si>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</si>
  <si>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</si>
  <si>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</si>
  <si>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</si>
  <si>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</si>
  <si>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</si>
  <si>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</si>
  <si>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</si>
  <si>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</si>
  <si>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</si>
  <si>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</si>
  <si>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</si>
  <si>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</si>
  <si>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</si>
  <si>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</si>
  <si>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</si>
  <si>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</si>
  <si>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</si>
  <si>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</si>
  <si>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</si>
  <si>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</si>
  <si>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</si>
  <si>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</si>
  <si>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</si>
  <si>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</si>
  <si>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</si>
  <si>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</si>
  <si>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</si>
  <si>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</si>
  <si>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</si>
  <si>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</si>
  <si>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</si>
  <si>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</si>
  <si>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</si>
  <si>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</si>
  <si>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</si>
  <si>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</si>
  <si>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</si>
  <si>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</si>
  <si>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</si>
  <si>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</si>
  <si>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</si>
  <si>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</si>
  <si>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</si>
  <si>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</si>
  <si>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</si>
  <si>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</si>
  <si>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</si>
  <si>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</si>
  <si>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</si>
  <si>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</si>
  <si>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</si>
  <si>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</si>
  <si>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</si>
  <si>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</si>
  <si>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</si>
  <si>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</si>
  <si>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</si>
  <si>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</si>
  <si>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</si>
  <si>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</si>
  <si>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</si>
  <si>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</si>
  <si>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</si>
  <si>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</si>
  <si>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</si>
  <si>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</si>
  <si>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</si>
  <si>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</si>
  <si>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</si>
  <si>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</si>
  <si>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</si>
  <si>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</si>
  <si>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</si>
  <si>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</si>
  <si>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</si>
  <si>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</si>
  <si>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</si>
  <si>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</si>
  <si>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</si>
  <si>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</si>
  <si>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</si>
  <si>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</si>
  <si>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</si>
  <si>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</si>
  <si>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</si>
  <si>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</si>
  <si>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</si>
  <si>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</si>
  <si>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</si>
  <si>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</si>
  <si>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</si>
  <si>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</si>
  <si>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</si>
  <si>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</si>
  <si>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</si>
  <si>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</si>
  <si>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</si>
  <si>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</si>
  <si>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</si>
  <si>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</si>
  <si>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</si>
  <si>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</si>
  <si>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</si>
  <si>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</si>
  <si>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</si>
  <si>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</si>
  <si>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</si>
  <si>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</si>
  <si>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</si>
  <si>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</si>
  <si>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</si>
  <si>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</si>
  <si>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</si>
  <si>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</si>
  <si>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</si>
  <si>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</si>
  <si>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</si>
  <si>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</si>
  <si>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</si>
  <si>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</si>
  <si>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</si>
  <si>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</si>
  <si>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</si>
  <si>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</si>
  <si>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</si>
  <si>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</si>
  <si>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</si>
  <si>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</si>
  <si>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</si>
  <si>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</si>
  <si>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</si>
  <si>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</si>
  <si>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</si>
  <si>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</si>
  <si>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</si>
  <si>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</si>
  <si>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</si>
  <si>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</si>
  <si>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</si>
  <si>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</si>
  <si>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</si>
  <si>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</si>
  <si>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</si>
  <si>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</si>
  <si>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</si>
  <si>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</si>
  <si>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</si>
  <si>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</si>
  <si>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</si>
  <si>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</si>
  <si>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</si>
  <si>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</si>
  <si>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</si>
  <si>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</si>
  <si>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</si>
  <si>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</si>
  <si>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</si>
  <si>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</si>
  <si>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</si>
  <si>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</si>
  <si>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</si>
  <si>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</si>
  <si>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</si>
  <si>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</si>
  <si>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</si>
  <si>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</si>
  <si>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</si>
  <si>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</si>
  <si>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</si>
  <si>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</si>
  <si>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</si>
  <si>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</si>
  <si>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</si>
  <si>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</si>
  <si>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</si>
  <si>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</si>
  <si>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</si>
  <si>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</si>
  <si>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</si>
  <si>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</si>
  <si>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</si>
  <si>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</si>
  <si>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</si>
  <si>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</si>
  <si>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</si>
  <si>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</si>
  <si>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</si>
  <si>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</si>
  <si>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</si>
  <si>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</si>
  <si>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</si>
  <si>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</si>
  <si>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</si>
  <si>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</si>
  <si>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</si>
  <si>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</si>
  <si>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</si>
  <si>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</si>
  <si>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</si>
  <si>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</si>
  <si>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</si>
  <si>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</si>
  <si>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</si>
  <si>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</si>
  <si>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</si>
  <si>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</si>
  <si>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</si>
  <si>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</si>
  <si>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</si>
  <si>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</si>
  <si>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</si>
  <si>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</si>
  <si>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</si>
  <si>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</si>
  <si>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</si>
  <si>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</si>
  <si>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</si>
  <si>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</si>
  <si>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</si>
  <si>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</si>
  <si>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</si>
  <si>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</si>
  <si>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</si>
  <si>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</si>
  <si>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</si>
  <si>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</si>
  <si>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</si>
  <si>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</si>
  <si>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</si>
  <si>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</si>
  <si>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</si>
  <si>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</si>
  <si>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</si>
  <si>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</si>
  <si>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</si>
  <si>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</si>
  <si>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</si>
  <si>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</si>
  <si>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</si>
  <si>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</si>
  <si>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</si>
  <si>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</si>
  <si>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</si>
  <si>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</si>
  <si>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</si>
  <si>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</si>
  <si>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</si>
  <si>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</si>
  <si>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</si>
  <si>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</si>
  <si>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</si>
  <si>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</si>
  <si>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</si>
  <si>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</si>
  <si>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</si>
  <si>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</si>
  <si>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</si>
  <si>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</si>
  <si>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</si>
  <si>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</si>
  <si>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</si>
  <si>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</si>
  <si>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</si>
  <si>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</si>
  <si>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</si>
  <si>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</si>
  <si>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</si>
  <si>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</si>
  <si>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</si>
  <si>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</si>
  <si>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</si>
  <si>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</si>
  <si>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</si>
  <si>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</si>
  <si>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</si>
  <si>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</si>
  <si>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</si>
  <si>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</si>
  <si>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</si>
  <si>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</si>
  <si>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</si>
  <si>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</si>
  <si>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</si>
  <si>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</si>
  <si>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</si>
  <si>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</si>
  <si>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</si>
  <si>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</si>
  <si>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</si>
  <si>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</si>
  <si>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</si>
  <si>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</si>
  <si>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</si>
  <si>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</si>
  <si>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</si>
  <si>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</si>
  <si>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</si>
  <si>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</si>
  <si>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</si>
  <si>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</si>
  <si>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</si>
  <si>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</si>
  <si>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</si>
  <si>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</si>
  <si>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</si>
  <si>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</si>
  <si>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</si>
  <si>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</si>
  <si>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</si>
  <si>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</si>
  <si>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</si>
  <si>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</si>
  <si>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</si>
  <si>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</si>
  <si>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</si>
  <si>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</si>
  <si>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</si>
  <si>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</si>
  <si>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</si>
  <si>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</si>
  <si>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</si>
  <si>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</si>
  <si>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</si>
  <si>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</si>
  <si>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</si>
  <si>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</si>
  <si>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</si>
  <si>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</si>
  <si>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</si>
  <si>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</si>
  <si>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</si>
  <si>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</si>
  <si>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</si>
  <si>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</si>
  <si>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</si>
  <si>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</si>
  <si>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</si>
  <si>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</si>
  <si>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</si>
  <si>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</si>
  <si>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</si>
  <si>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</si>
  <si>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</si>
  <si>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</si>
  <si>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</si>
  <si>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</si>
  <si>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</si>
  <si>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</si>
  <si>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</si>
  <si>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</si>
  <si>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</si>
  <si>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</si>
  <si>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</si>
  <si>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</si>
  <si>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</si>
  <si>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</si>
  <si>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</si>
  <si>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</si>
  <si>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</si>
  <si>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</si>
  <si>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</si>
  <si>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</si>
  <si>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</si>
  <si>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</si>
  <si>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</si>
  <si>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</si>
  <si>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</si>
  <si>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</si>
  <si>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</si>
  <si>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</si>
  <si>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</si>
  <si>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</si>
  <si>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</si>
  <si>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</si>
  <si>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</si>
  <si>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</si>
  <si>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</si>
  <si>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</si>
  <si>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</si>
  <si>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</si>
  <si>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</si>
  <si>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</si>
  <si>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</si>
  <si>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</si>
  <si>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</si>
  <si>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</si>
  <si>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</si>
  <si>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</si>
  <si>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</si>
  <si>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</si>
  <si>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</si>
  <si>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</si>
  <si>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</si>
  <si>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</si>
  <si>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</si>
  <si>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</si>
  <si>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</si>
  <si>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</si>
  <si>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</si>
  <si>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</si>
  <si>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</si>
  <si>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</si>
  <si>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</si>
  <si>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</si>
  <si>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</si>
  <si>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</si>
  <si>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</si>
  <si>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</si>
  <si>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</si>
  <si>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</si>
  <si>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</si>
  <si>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</si>
  <si>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</si>
  <si>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</si>
  <si>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</si>
  <si>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</si>
  <si>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</si>
  <si>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</si>
  <si>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</si>
  <si>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</si>
  <si>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</si>
  <si>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</si>
  <si>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</si>
  <si>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</si>
  <si>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</si>
  <si>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</si>
  <si>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</si>
  <si>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</si>
  <si>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</si>
  <si>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</si>
  <si>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</si>
  <si>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</si>
  <si>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</si>
  <si>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</si>
  <si>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</si>
  <si>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</si>
  <si>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</si>
  <si>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</si>
  <si>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</si>
  <si>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</si>
  <si>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</si>
  <si>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</si>
  <si>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</si>
  <si>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</si>
  <si>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</si>
  <si>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</si>
  <si>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</si>
  <si>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</si>
  <si>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</si>
  <si>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</si>
  <si>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</si>
  <si>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</si>
  <si>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</si>
  <si>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</si>
  <si>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</si>
  <si>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</si>
  <si>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</si>
  <si>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</si>
  <si>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</si>
  <si>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</si>
  <si>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</si>
  <si>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</si>
  <si>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</si>
  <si>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</si>
  <si>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</si>
  <si>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</si>
  <si>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</si>
  <si>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</si>
  <si>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</si>
  <si>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</si>
  <si>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</si>
  <si>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</si>
  <si>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</si>
  <si>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</si>
  <si>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</si>
  <si>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</si>
  <si>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</si>
  <si>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</si>
  <si>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</si>
  <si>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</si>
  <si>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</si>
  <si>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</si>
  <si>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</si>
  <si>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</si>
  <si>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</si>
  <si>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</si>
  <si>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</si>
  <si>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</si>
  <si>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</si>
  <si>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</si>
  <si>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</si>
  <si>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</si>
  <si>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</si>
  <si>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</si>
  <si>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</si>
  <si>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</si>
  <si>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</si>
  <si>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</si>
  <si>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</si>
  <si>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</si>
  <si>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</si>
  <si>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</si>
  <si>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</si>
  <si>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</si>
  <si>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</si>
  <si>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</si>
  <si>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</si>
  <si>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</si>
  <si>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</si>
  <si>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</si>
  <si>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</si>
  <si>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</si>
  <si>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</si>
  <si>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</si>
  <si>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</si>
  <si>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</si>
  <si>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</si>
  <si>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</si>
  <si>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</si>
  <si>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</si>
  <si>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</si>
  <si>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</si>
  <si>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</si>
  <si>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</si>
  <si>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</si>
  <si>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</si>
  <si>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</si>
  <si>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</si>
  <si>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</si>
  <si>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</si>
  <si>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</si>
  <si>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</si>
  <si>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</si>
  <si>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</si>
  <si>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</si>
  <si>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</si>
  <si>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</si>
  <si>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</si>
  <si>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</si>
  <si>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</si>
  <si>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</si>
  <si>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</si>
  <si>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</si>
  <si>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</si>
  <si>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</si>
  <si>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</si>
  <si>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</si>
  <si>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</si>
  <si>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</si>
  <si>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</si>
  <si>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</si>
  <si>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</si>
  <si>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</si>
  <si>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</si>
  <si>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</si>
  <si>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</si>
  <si>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</si>
  <si>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</si>
  <si>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</si>
  <si>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</si>
  <si>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</si>
  <si>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</si>
  <si>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</si>
  <si>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</si>
  <si>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</si>
  <si>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</si>
  <si>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</si>
  <si>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</si>
  <si>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</si>
  <si>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</si>
  <si>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</si>
  <si>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</si>
  <si>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</si>
  <si>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</si>
  <si>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</si>
  <si>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</si>
  <si>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</si>
  <si>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</si>
  <si>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</si>
  <si>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</si>
  <si>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</si>
  <si>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</si>
  <si>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</si>
  <si>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</si>
  <si>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</si>
  <si>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</si>
  <si>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</si>
  <si>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</si>
  <si>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</si>
  <si>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</si>
  <si>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</si>
  <si>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</si>
  <si>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</si>
  <si>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</si>
  <si>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</si>
  <si>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</si>
  <si>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</si>
  <si>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</si>
  <si>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</si>
  <si>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</si>
  <si>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</si>
  <si>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</si>
  <si>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</si>
  <si>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</si>
  <si>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</si>
  <si>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</si>
  <si>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</si>
  <si>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</si>
  <si>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</si>
  <si>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</si>
  <si>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</si>
  <si>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</si>
  <si>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</si>
  <si>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</si>
  <si>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</si>
  <si>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</si>
  <si>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</si>
  <si>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</si>
  <si>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</si>
  <si>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</si>
  <si>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</si>
  <si>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</si>
  <si>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</si>
  <si>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</si>
  <si>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</si>
  <si>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</si>
  <si>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</si>
  <si>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</si>
  <si>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</si>
  <si>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</si>
  <si>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</si>
  <si>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</si>
  <si>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</si>
  <si>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</si>
  <si>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</si>
  <si>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</si>
  <si>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</si>
  <si>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</si>
  <si>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</si>
  <si>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</si>
  <si>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</si>
  <si>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</si>
  <si>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</si>
  <si>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</si>
  <si>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</si>
  <si>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</si>
  <si>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</si>
  <si>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</si>
  <si>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</si>
  <si>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</si>
  <si>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</si>
  <si>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</si>
  <si>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</si>
  <si>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</si>
  <si>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</si>
  <si>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</si>
  <si>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</si>
  <si>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</si>
  <si>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</si>
  <si>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</si>
  <si>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</si>
  <si>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</si>
  <si>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</si>
  <si>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</si>
  <si>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</si>
  <si>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</si>
  <si>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</si>
  <si>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</si>
  <si>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</si>
  <si>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</si>
  <si>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</si>
  <si>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</si>
  <si>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</si>
  <si>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</si>
  <si>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</si>
  <si>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</si>
  <si>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</si>
  <si>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</si>
  <si>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</si>
  <si>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</si>
  <si>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</si>
  <si>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</si>
  <si>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</si>
  <si>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</si>
  <si>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</si>
  <si>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</si>
  <si>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</si>
  <si>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</si>
  <si>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</si>
  <si>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</si>
  <si>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</si>
  <si>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</si>
  <si>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</si>
  <si>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</si>
  <si>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</si>
  <si>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</si>
  <si>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</si>
  <si>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</si>
  <si>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</si>
  <si>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</si>
  <si>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</si>
  <si>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</si>
  <si>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</si>
  <si>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</si>
  <si>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</si>
  <si>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</si>
  <si>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</si>
  <si>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</si>
  <si>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</si>
  <si>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</si>
  <si>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</si>
  <si>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</si>
  <si>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</si>
  <si>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</si>
  <si>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</si>
  <si>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</si>
  <si>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</si>
  <si>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</si>
  <si>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</si>
  <si>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</si>
  <si>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</si>
  <si>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</si>
  <si>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</si>
  <si>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</si>
  <si>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</si>
  <si>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</si>
  <si>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</si>
  <si>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</si>
  <si>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</si>
  <si>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</si>
  <si>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</si>
  <si>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</si>
  <si>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</si>
  <si>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</si>
  <si>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</si>
  <si>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</si>
  <si>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</si>
  <si>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</si>
  <si>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</si>
  <si>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</si>
  <si>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</si>
  <si>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</si>
  <si>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</si>
  <si>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</si>
  <si>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</si>
  <si>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</si>
  <si>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</si>
  <si>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</si>
  <si>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</si>
  <si>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</si>
  <si>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</si>
  <si>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</si>
  <si>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</si>
  <si>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</si>
  <si>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</si>
  <si>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</si>
  <si>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</si>
  <si>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</si>
  <si>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</si>
  <si>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</si>
  <si>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</si>
  <si>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</si>
  <si>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</si>
  <si>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</si>
  <si>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</si>
  <si>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</si>
  <si>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</si>
  <si>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</si>
  <si>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</si>
  <si>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</si>
  <si>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</si>
  <si>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</si>
  <si>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</si>
  <si>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</si>
  <si>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</si>
  <si>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</si>
  <si>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</si>
  <si>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</si>
  <si>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</si>
  <si>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</si>
  <si>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</si>
  <si>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</si>
  <si>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</si>
  <si>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</si>
  <si>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</si>
  <si>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</si>
  <si>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</si>
  <si>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</si>
  <si>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</si>
  <si>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</si>
  <si>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</si>
  <si>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</si>
  <si>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</si>
  <si>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</si>
  <si>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</si>
  <si>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</si>
  <si>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</si>
  <si>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</si>
  <si>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</si>
  <si>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</si>
  <si>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</si>
  <si>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</si>
  <si>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</si>
  <si>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</si>
  <si>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</si>
  <si>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</si>
  <si>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</si>
  <si>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</si>
  <si>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</si>
  <si>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</si>
  <si>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</si>
  <si>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</si>
  <si>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</si>
  <si>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</si>
  <si>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</si>
  <si>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</si>
  <si>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</si>
  <si>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</si>
  <si>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</si>
  <si>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</si>
  <si>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</si>
  <si>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</si>
  <si>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</si>
  <si>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</si>
  <si>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</si>
  <si>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</si>
  <si>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</si>
  <si>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</si>
  <si>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</si>
  <si>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</si>
  <si>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</si>
  <si>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</si>
  <si>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</si>
  <si>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</si>
  <si>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</si>
  <si>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</si>
  <si>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</si>
  <si>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</si>
  <si>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</si>
  <si>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</si>
  <si>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</si>
  <si>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</si>
  <si>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</si>
  <si>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</si>
  <si>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</si>
  <si>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</si>
  <si>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</si>
  <si>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</si>
  <si>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</si>
  <si>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</si>
  <si>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</si>
  <si>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</si>
  <si>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</si>
  <si>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</si>
  <si>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</si>
  <si>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</si>
  <si>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</si>
  <si>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</si>
  <si>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</si>
  <si>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</si>
  <si>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</si>
  <si>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</si>
  <si>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</si>
  <si>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</si>
  <si>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</si>
  <si>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</si>
  <si>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</si>
  <si>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</si>
  <si>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</si>
  <si>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</si>
  <si>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</si>
  <si>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</si>
  <si>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</si>
  <si>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</si>
  <si>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</si>
  <si>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</si>
  <si>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</si>
  <si>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</si>
  <si>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</si>
  <si>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</si>
  <si>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</si>
  <si>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</si>
  <si>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</si>
  <si>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</si>
  <si>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</si>
  <si>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</si>
  <si>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</si>
  <si>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</si>
  <si>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</si>
  <si>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</si>
  <si>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</si>
  <si>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</si>
  <si>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</si>
  <si>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</si>
  <si>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</si>
  <si>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</si>
  <si>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</si>
  <si>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</si>
  <si>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</si>
  <si>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</si>
  <si>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</si>
  <si>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</si>
  <si>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</si>
  <si>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</si>
  <si>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</si>
  <si>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</si>
  <si>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</si>
  <si>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</si>
  <si>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</si>
  <si>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</si>
  <si>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</si>
  <si>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</si>
  <si>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</si>
  <si>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</si>
  <si>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</si>
  <si>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</si>
  <si>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</si>
  <si>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</si>
  <si>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</si>
  <si>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</si>
  <si>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</si>
  <si>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</si>
  <si>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</si>
  <si>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</si>
  <si>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</si>
  <si>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</si>
  <si>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</si>
  <si>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</si>
  <si>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</si>
  <si>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</si>
  <si>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</si>
  <si>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</si>
  <si>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</si>
  <si>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</si>
  <si>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</si>
  <si>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</si>
  <si>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</si>
  <si>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</si>
  <si>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</si>
  <si>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</si>
  <si>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</si>
  <si>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</si>
  <si>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</si>
  <si>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</si>
  <si>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</si>
  <si>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</si>
  <si>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</si>
  <si>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</si>
  <si>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</si>
  <si>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</si>
  <si>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</si>
  <si>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</si>
  <si>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</si>
  <si>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</si>
  <si>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</si>
  <si>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</si>
  <si>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</si>
  <si>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</si>
  <si>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</si>
  <si>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</si>
  <si>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</si>
  <si>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</si>
  <si>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</si>
  <si>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</si>
  <si>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</si>
  <si>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</si>
  <si>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</si>
  <si>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</si>
  <si>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</si>
  <si>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</si>
  <si>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</si>
  <si>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</si>
  <si>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</si>
  <si>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</si>
  <si>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</si>
  <si>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</si>
  <si>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</si>
  <si>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</si>
  <si>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</si>
  <si>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</si>
  <si>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</si>
  <si>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</si>
  <si>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</si>
  <si>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</si>
  <si>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</si>
  <si>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</si>
  <si>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</si>
  <si>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</si>
  <si>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</si>
  <si>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</si>
  <si>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</si>
  <si>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</si>
  <si>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</si>
  <si>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</si>
  <si>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</si>
  <si>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</si>
  <si>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</si>
  <si>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</si>
  <si>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</si>
  <si>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</si>
  <si>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</si>
  <si>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</si>
  <si>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</si>
  <si>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</si>
  <si>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</si>
  <si>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</si>
  <si>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</si>
  <si>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</si>
  <si>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</si>
  <si>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</si>
  <si>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</si>
  <si>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</si>
  <si>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</si>
  <si>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</si>
  <si>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</si>
  <si>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</si>
  <si>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</si>
  <si>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</si>
  <si>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</si>
  <si>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</si>
  <si>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</si>
  <si>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</si>
  <si>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</si>
  <si>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</si>
  <si>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</si>
  <si>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</si>
  <si>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</si>
  <si>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</si>
  <si>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</si>
  <si>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</si>
  <si>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</si>
  <si>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</si>
  <si>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</si>
  <si>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</si>
  <si>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</si>
  <si>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</si>
  <si>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</si>
  <si>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</si>
  <si>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</si>
  <si>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</si>
  <si>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</si>
  <si>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</si>
  <si>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</si>
  <si>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</si>
  <si>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</si>
  <si>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</si>
  <si>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</si>
  <si>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</si>
  <si>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</si>
  <si>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</si>
  <si>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</si>
  <si>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</si>
  <si>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</si>
  <si>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</si>
  <si>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</si>
  <si>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</si>
  <si>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</si>
  <si>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</si>
  <si>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</si>
  <si>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</si>
  <si>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</si>
  <si>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</si>
  <si>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</si>
  <si>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</si>
  <si>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</si>
  <si>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</si>
  <si>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</si>
  <si>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</si>
  <si>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</si>
  <si>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</si>
  <si>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</si>
  <si>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</si>
  <si>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</si>
  <si>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</si>
  <si>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</si>
  <si>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</si>
  <si>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</si>
  <si>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</si>
  <si>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</si>
  <si>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</si>
  <si>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</si>
  <si>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</si>
  <si>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</si>
  <si>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</si>
  <si>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</si>
  <si>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</si>
  <si>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</si>
  <si>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</si>
  <si>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</si>
  <si>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</si>
  <si>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</si>
  <si>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</si>
  <si>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</si>
  <si>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</si>
  <si>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</si>
  <si>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</si>
  <si>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</si>
  <si>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</si>
  <si>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</si>
  <si>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</si>
  <si>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</si>
  <si>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</si>
  <si>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</si>
  <si>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</si>
  <si>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</si>
  <si>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</si>
  <si>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</si>
  <si>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</si>
  <si>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</si>
  <si>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</si>
  <si>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</si>
  <si>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</si>
  <si>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</si>
  <si>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</si>
  <si>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</si>
  <si>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</si>
  <si>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</si>
  <si>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</si>
  <si>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</si>
  <si>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</si>
  <si>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</si>
  <si>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</si>
  <si>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</si>
  <si>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</si>
  <si>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</si>
  <si>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</si>
  <si>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</si>
  <si>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</si>
  <si>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</si>
  <si>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</si>
  <si>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</si>
  <si>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</si>
  <si>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</si>
  <si>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</si>
  <si>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</si>
  <si>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</si>
  <si>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</si>
  <si>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</si>
  <si>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</si>
  <si>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</si>
  <si>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</si>
  <si>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</si>
  <si>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</si>
  <si>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</si>
  <si>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</si>
  <si>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</si>
  <si>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</si>
  <si>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</si>
  <si>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</si>
  <si>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</si>
  <si>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</si>
  <si>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</si>
  <si>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</si>
  <si>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</si>
  <si>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</si>
  <si>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</si>
  <si>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</si>
  <si>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</si>
  <si>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</si>
  <si>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</si>
  <si>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</si>
  <si>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</si>
  <si>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</si>
  <si>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</si>
  <si>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</si>
  <si>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</si>
  <si>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</si>
  <si>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</si>
  <si>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</si>
  <si>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</si>
  <si>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</si>
  <si>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</si>
  <si>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</si>
  <si>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</si>
  <si>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</si>
  <si>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</si>
  <si>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</si>
  <si>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</si>
  <si>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</si>
  <si>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</si>
  <si>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</si>
  <si>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</si>
  <si>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</si>
  <si>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</si>
  <si>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</si>
  <si>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</si>
  <si>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</si>
  <si>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</si>
  <si>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</si>
  <si>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</si>
  <si>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</si>
  <si>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</si>
  <si>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</si>
  <si>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</si>
  <si>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</si>
  <si>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</si>
  <si>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</si>
  <si>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</si>
  <si>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</si>
  <si>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</si>
  <si>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</si>
  <si>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</si>
  <si>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</si>
  <si>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</si>
  <si>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</si>
  <si>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</si>
  <si>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</si>
  <si>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</si>
  <si>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</si>
  <si>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</si>
  <si>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</si>
  <si>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</si>
  <si>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</si>
  <si>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</si>
  <si>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</si>
  <si>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</si>
  <si>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</si>
  <si>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</si>
  <si>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</si>
  <si>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</si>
  <si>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</si>
  <si>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</si>
  <si>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</si>
  <si>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</si>
  <si>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</si>
  <si>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</si>
  <si>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</si>
  <si>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</si>
  <si>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</si>
  <si>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</si>
  <si>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</si>
  <si>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</si>
  <si>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</si>
  <si>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</si>
  <si>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</si>
  <si>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</si>
  <si>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</si>
  <si>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</si>
  <si>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</si>
  <si>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</si>
  <si>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</si>
  <si>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</si>
  <si>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</si>
  <si>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</si>
  <si>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</si>
  <si>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</si>
  <si>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</si>
  <si>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</si>
  <si>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</si>
  <si>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</si>
  <si>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</si>
  <si>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</si>
  <si>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</si>
  <si>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</si>
  <si>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</si>
  <si>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</si>
  <si>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</si>
  <si>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</si>
  <si>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</si>
  <si>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</si>
  <si>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</si>
  <si>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</si>
  <si>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</si>
  <si>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</si>
  <si>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</si>
  <si>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</si>
  <si>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</si>
  <si>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</si>
  <si>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</si>
  <si>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</si>
  <si>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</si>
  <si>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</si>
  <si>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</si>
  <si>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</si>
  <si>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</si>
  <si>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</si>
  <si>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</si>
  <si>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</si>
  <si>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</si>
  <si>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</si>
  <si>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</si>
  <si>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</si>
  <si>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</si>
  <si>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</si>
  <si>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</si>
  <si>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</si>
  <si>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</si>
  <si>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</si>
  <si>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</si>
  <si>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</si>
  <si>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</si>
  <si>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</si>
  <si>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</si>
  <si>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</si>
  <si>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</si>
  <si>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</si>
  <si>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</si>
  <si>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</si>
  <si>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</si>
  <si>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</si>
  <si>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</si>
  <si>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</si>
  <si>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</si>
  <si>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</si>
  <si>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</si>
  <si>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</si>
  <si>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</si>
  <si>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</si>
  <si>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</si>
  <si>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</si>
  <si>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</si>
  <si>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</si>
  <si>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</si>
  <si>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</si>
  <si>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</si>
  <si>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</si>
  <si>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</si>
  <si>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</si>
  <si>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</si>
  <si>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</si>
  <si>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</si>
  <si>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</si>
  <si>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</si>
  <si>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</si>
  <si>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</si>
  <si>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</si>
  <si>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</si>
  <si>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</si>
  <si>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</si>
  <si>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</si>
  <si>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</si>
  <si>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</si>
  <si>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</si>
  <si>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</si>
  <si>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</si>
  <si>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</si>
  <si>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</si>
  <si>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</si>
  <si>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</si>
  <si>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</si>
  <si>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</si>
  <si>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</si>
  <si>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</si>
  <si>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</si>
  <si>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</si>
  <si>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</si>
  <si>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</si>
  <si>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</si>
  <si>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</si>
  <si>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</si>
  <si>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</si>
  <si>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</si>
  <si>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</si>
  <si>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</si>
  <si>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</si>
  <si>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</si>
  <si>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</si>
  <si>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</si>
  <si>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</si>
  <si>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</si>
  <si>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</si>
  <si>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</si>
  <si>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</si>
  <si>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</si>
  <si>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</si>
  <si>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</si>
  <si>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</si>
  <si>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</si>
  <si>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</si>
  <si>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</si>
  <si>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</si>
  <si>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</si>
  <si>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</si>
  <si>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</si>
  <si>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</si>
  <si>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</si>
  <si>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</si>
  <si>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</si>
  <si>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</si>
  <si>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</si>
  <si>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</si>
  <si>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</si>
  <si>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</si>
  <si>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</si>
  <si>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</si>
  <si>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</si>
  <si>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</si>
  <si>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</si>
  <si>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</si>
  <si>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</si>
  <si>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</si>
  <si>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</si>
  <si>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</si>
  <si>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</si>
  <si>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</si>
  <si>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</si>
  <si>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</si>
  <si>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</si>
  <si>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</si>
  <si>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</si>
  <si>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</si>
  <si>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</si>
  <si>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</si>
  <si>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</si>
  <si>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</si>
  <si>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</si>
  <si>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</si>
  <si>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</si>
  <si>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</si>
  <si>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</si>
  <si>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</si>
  <si>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</si>
  <si>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</si>
  <si>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</si>
  <si>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</si>
  <si>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</si>
  <si>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</si>
  <si>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</si>
  <si>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</si>
  <si>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</si>
  <si>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</si>
  <si>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</si>
  <si>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</si>
  <si>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</si>
  <si>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</si>
  <si>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</si>
  <si>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</si>
  <si>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</si>
  <si>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</si>
  <si>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</si>
  <si>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</si>
  <si>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</si>
  <si>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</si>
  <si>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</si>
  <si>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</si>
  <si>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</si>
  <si>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</si>
  <si>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</si>
  <si>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</si>
  <si>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</si>
  <si>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</si>
  <si>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</si>
  <si>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</si>
  <si>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</si>
  <si>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</si>
  <si>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</si>
  <si>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</si>
  <si>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</si>
  <si>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</si>
  <si>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</si>
  <si>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</si>
  <si>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</si>
  <si>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</si>
  <si>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</si>
  <si>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</si>
  <si>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</si>
  <si>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</si>
  <si>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</si>
  <si>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</si>
  <si>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</si>
  <si>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</si>
  <si>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</si>
  <si>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</si>
  <si>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</si>
  <si>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</si>
  <si>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</si>
  <si>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</si>
  <si>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</si>
  <si>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</si>
  <si>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</si>
  <si>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</si>
  <si>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</si>
  <si>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</si>
  <si>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</si>
  <si>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</si>
  <si>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</si>
  <si>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</si>
  <si>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</si>
  <si>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</si>
  <si>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</si>
  <si>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</si>
  <si>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</si>
  <si>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</si>
  <si>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</si>
  <si>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</si>
  <si>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</si>
  <si>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</si>
  <si>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</si>
  <si>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</si>
  <si>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</si>
  <si>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</si>
  <si>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</si>
  <si>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</si>
  <si>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</si>
  <si>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</si>
  <si>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</si>
  <si>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</si>
  <si>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</si>
  <si>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</si>
  <si>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</si>
  <si>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</si>
  <si>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</si>
  <si>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</si>
  <si>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</si>
  <si>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</si>
  <si>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</si>
  <si>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</si>
  <si>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</si>
  <si>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</si>
  <si>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</si>
  <si>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</si>
  <si>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</si>
  <si>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</si>
  <si>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</si>
  <si>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</si>
  <si>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</si>
  <si>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</si>
  <si>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</si>
  <si>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</si>
  <si>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</si>
  <si>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</si>
  <si>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</si>
  <si>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</si>
  <si>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</si>
  <si>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</si>
  <si>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</si>
  <si>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</si>
  <si>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</si>
  <si>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</si>
  <si>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</si>
  <si>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</si>
  <si>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</si>
  <si>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</si>
  <si>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</si>
  <si>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</si>
  <si>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</si>
  <si>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</si>
  <si>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</si>
  <si>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</si>
  <si>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</si>
  <si>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</si>
  <si>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</si>
  <si>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</si>
  <si>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</si>
  <si>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</si>
  <si>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</si>
  <si>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</si>
  <si>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</si>
  <si>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</si>
  <si>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</si>
  <si>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</si>
  <si>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</si>
  <si>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</si>
  <si>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</si>
  <si>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</si>
  <si>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</si>
  <si>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</si>
  <si>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</si>
  <si>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</si>
  <si>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</si>
  <si>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</si>
  <si>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</si>
  <si>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</si>
  <si>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</si>
  <si>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</si>
  <si>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</si>
  <si>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</si>
  <si>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</si>
  <si>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</si>
  <si>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</si>
  <si>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</si>
  <si>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</si>
  <si>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</si>
  <si>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</si>
  <si>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</si>
  <si>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</si>
  <si>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</si>
  <si>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</si>
  <si>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</si>
  <si>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</si>
  <si>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</si>
  <si>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</si>
  <si>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</si>
  <si>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</si>
  <si>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</si>
  <si>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</si>
  <si>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</si>
  <si>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</si>
  <si>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</si>
  <si>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</si>
  <si>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</si>
  <si>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</si>
  <si>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</si>
  <si>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</si>
  <si>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</si>
  <si>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</si>
  <si>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</si>
  <si>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</si>
  <si>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</si>
  <si>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</si>
  <si>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</si>
  <si>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</si>
  <si>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</si>
  <si>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</si>
  <si>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</si>
  <si>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</si>
  <si>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</si>
  <si>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</si>
  <si>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</si>
  <si>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</si>
  <si>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</si>
  <si>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</si>
  <si>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</si>
  <si>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</si>
  <si>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</si>
  <si>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</si>
  <si>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</si>
  <si>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</si>
  <si>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</si>
  <si>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</si>
  <si>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</si>
  <si>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</si>
  <si>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</si>
  <si>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</si>
  <si>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</si>
  <si>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</si>
  <si>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</si>
  <si>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</si>
  <si>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</si>
  <si>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</si>
  <si>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</si>
  <si>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</si>
  <si>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</si>
  <si>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</si>
  <si>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</si>
  <si>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</si>
  <si>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</si>
  <si>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</si>
  <si>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</si>
  <si>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</si>
  <si>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</si>
  <si>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</si>
  <si>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</si>
  <si>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</si>
  <si>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</si>
  <si>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</si>
  <si>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</si>
  <si>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</si>
  <si>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</si>
  <si>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</si>
  <si>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</si>
  <si>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</si>
  <si>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</si>
  <si>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</si>
  <si>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</si>
  <si>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</si>
  <si>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</si>
  <si>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</si>
  <si>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</si>
  <si>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</si>
  <si>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</si>
  <si>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</si>
  <si>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</si>
  <si>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</si>
  <si>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</si>
  <si>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</si>
  <si>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</si>
  <si>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</si>
  <si>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</si>
  <si>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</si>
  <si>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</si>
  <si>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</si>
  <si>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</si>
  <si>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</si>
  <si>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</si>
  <si>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</si>
  <si>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</si>
  <si>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</si>
  <si>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</si>
  <si>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</si>
  <si>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</si>
  <si>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</si>
  <si>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</si>
  <si>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</si>
  <si>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</si>
  <si>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</si>
  <si>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</si>
  <si>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</si>
  <si>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</si>
  <si>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</si>
  <si>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</si>
  <si>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</si>
  <si>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</si>
  <si>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</si>
  <si>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</si>
  <si>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</si>
  <si>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</si>
  <si>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</si>
  <si>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</si>
  <si>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</si>
  <si>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</si>
  <si>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</si>
  <si>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</si>
  <si>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</si>
  <si>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</si>
  <si>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</si>
  <si>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</si>
  <si>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</si>
  <si>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</si>
  <si>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</si>
  <si>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</si>
  <si>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</si>
  <si>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</si>
  <si>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</si>
  <si>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</si>
  <si>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</si>
  <si>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</si>
  <si>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</si>
  <si>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</si>
  <si>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</si>
  <si>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</si>
  <si>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</si>
  <si>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</si>
  <si>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</si>
  <si>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</si>
  <si>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</si>
  <si>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</si>
  <si>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</si>
  <si>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</si>
  <si>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</si>
  <si>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</si>
  <si>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</si>
  <si>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</si>
  <si>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</si>
  <si>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</si>
  <si>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</si>
  <si>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</si>
  <si>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</si>
  <si>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</si>
  <si>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</si>
  <si>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</si>
  <si>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</si>
  <si>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</si>
  <si>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</si>
  <si>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</si>
  <si>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</si>
  <si>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</si>
  <si>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</si>
  <si>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</si>
  <si>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</si>
  <si>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</si>
  <si>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</si>
  <si>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</si>
  <si>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</si>
  <si>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</si>
  <si>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</si>
  <si>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</si>
  <si>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</si>
  <si>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</si>
  <si>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</si>
  <si>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</si>
  <si>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</si>
  <si>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</si>
  <si>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</si>
  <si>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</si>
  <si>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</si>
  <si>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</si>
  <si>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</si>
  <si>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</si>
  <si>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</si>
  <si>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</si>
  <si>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</si>
  <si>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</si>
  <si>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</si>
  <si>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</si>
  <si>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</si>
  <si>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</si>
  <si>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</si>
  <si>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</si>
  <si>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</si>
  <si>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</si>
  <si>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</si>
  <si>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</si>
  <si>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</si>
  <si>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</si>
  <si>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</si>
  <si>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</si>
  <si>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</si>
  <si>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</si>
  <si>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</si>
  <si>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</si>
  <si>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</si>
  <si>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</si>
  <si>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</si>
  <si>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</si>
  <si>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</si>
  <si>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</si>
  <si>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</si>
  <si>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</si>
  <si>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</si>
  <si>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</si>
  <si>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</si>
  <si>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</si>
  <si>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</si>
  <si>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</si>
  <si>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</si>
  <si>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</si>
  <si>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</si>
  <si>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</si>
  <si>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</si>
  <si>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</si>
  <si>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</si>
  <si>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</si>
  <si>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</si>
  <si>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</si>
  <si>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</si>
  <si>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</si>
  <si>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</si>
  <si>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</si>
  <si>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</si>
  <si>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</si>
  <si>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</si>
  <si>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</si>
  <si>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</si>
  <si>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</si>
  <si>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</si>
  <si>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</si>
  <si>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</si>
  <si>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</si>
  <si>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</si>
  <si>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</si>
  <si>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</si>
  <si>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</si>
  <si>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</si>
  <si>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</si>
  <si>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</si>
  <si>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</si>
  <si>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</si>
  <si>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</si>
  <si>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</si>
  <si>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</si>
  <si>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</si>
  <si>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</si>
  <si>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</si>
  <si>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</si>
  <si>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</si>
  <si>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</si>
  <si>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</si>
  <si>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</si>
  <si>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</si>
  <si>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</si>
  <si>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</si>
  <si>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</si>
  <si>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</si>
  <si>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</si>
  <si>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</si>
  <si>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</si>
  <si>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</si>
  <si>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</si>
  <si>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</si>
  <si>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</si>
  <si>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</si>
  <si>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</si>
  <si>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</si>
  <si>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</si>
  <si>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</si>
  <si>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</si>
  <si>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</si>
  <si>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</si>
  <si>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</si>
  <si>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</si>
  <si>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</si>
  <si>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</si>
  <si>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</si>
  <si>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</si>
  <si>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</si>
  <si>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</si>
  <si>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</si>
  <si>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</si>
  <si>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</si>
  <si>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</si>
  <si>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</si>
  <si>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</si>
  <si>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</si>
  <si>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</si>
  <si>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</si>
  <si>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</si>
  <si>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</si>
  <si>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</si>
  <si>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</si>
  <si>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</si>
  <si>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</si>
  <si>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</si>
  <si>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</si>
  <si>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</si>
  <si>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</si>
  <si>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</si>
  <si>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</si>
  <si>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</si>
  <si>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</si>
  <si>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</si>
  <si>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</si>
  <si>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</si>
  <si>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</si>
  <si>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</si>
  <si>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</si>
  <si>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</si>
  <si>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</si>
  <si>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</si>
  <si>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</si>
  <si>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</si>
  <si>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</si>
  <si>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</si>
  <si>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</si>
  <si>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</si>
  <si>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</si>
  <si>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</si>
  <si>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</si>
  <si>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</si>
  <si>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</si>
  <si>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</si>
  <si>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</si>
  <si>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</si>
  <si>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</si>
  <si>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</si>
  <si>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</si>
  <si>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</si>
  <si>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</si>
  <si>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</si>
  <si>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</si>
  <si>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</si>
  <si>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</si>
  <si>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</si>
  <si>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</si>
  <si>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</si>
  <si>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</si>
  <si>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</si>
  <si>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</si>
  <si>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</si>
  <si>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</si>
  <si>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</si>
  <si>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</si>
  <si>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</si>
  <si>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</si>
  <si>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</si>
  <si>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</si>
  <si>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</si>
  <si>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</si>
  <si>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</si>
  <si>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</si>
  <si>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</si>
  <si>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</si>
  <si>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</si>
  <si>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</si>
  <si>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</si>
  <si>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</si>
  <si>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</si>
  <si>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</si>
  <si>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</si>
  <si>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</si>
  <si>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</si>
  <si>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</si>
  <si>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</si>
  <si>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</si>
  <si>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</si>
  <si>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</si>
  <si>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</si>
  <si>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</si>
  <si>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</si>
  <si>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</si>
  <si>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</si>
  <si>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</si>
  <si>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</si>
  <si>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</si>
  <si>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</si>
  <si>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</si>
  <si>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</si>
  <si>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</si>
  <si>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</si>
  <si>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</si>
  <si>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</si>
  <si>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</si>
  <si>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</si>
  <si>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</si>
  <si>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</si>
  <si>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</si>
  <si>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</si>
  <si>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</si>
  <si>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</si>
  <si>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</si>
  <si>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</si>
  <si>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</si>
  <si>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</si>
  <si>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</si>
  <si>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</si>
  <si>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</si>
  <si>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</si>
  <si>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</si>
  <si>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</si>
  <si>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</si>
  <si>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</si>
  <si>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</si>
  <si>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</si>
  <si>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</si>
  <si>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</si>
  <si>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</si>
  <si>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</si>
  <si>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</si>
  <si>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</si>
  <si>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</si>
  <si>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</si>
  <si>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</si>
  <si>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</si>
  <si>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</si>
  <si>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</si>
  <si>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</si>
  <si>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</si>
  <si>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</si>
  <si>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</si>
  <si>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</si>
  <si>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</si>
  <si>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</si>
  <si>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</si>
  <si>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</si>
  <si>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</si>
  <si>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</si>
  <si>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</si>
  <si>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</si>
  <si>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</si>
  <si>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</si>
  <si>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</si>
  <si>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</si>
  <si>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</si>
  <si>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</si>
  <si>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</si>
  <si>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</si>
  <si>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</si>
  <si>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</si>
  <si>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</si>
  <si>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</si>
  <si>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</si>
  <si>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</si>
  <si>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</si>
  <si>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</si>
  <si>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</si>
  <si>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</si>
  <si>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</si>
  <si>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</si>
  <si>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</si>
  <si>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</si>
  <si>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</si>
  <si>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</si>
  <si>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</si>
  <si>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</si>
  <si>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</si>
  <si>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</si>
  <si>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</si>
  <si>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</si>
  <si>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</si>
  <si>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</si>
  <si>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</si>
  <si>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</si>
  <si>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</si>
  <si>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</si>
  <si>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</si>
  <si>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</si>
  <si>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</si>
  <si>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</si>
  <si>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</si>
  <si>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</si>
  <si>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</si>
  <si>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</si>
  <si>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</si>
  <si>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</si>
  <si>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</si>
  <si>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</si>
  <si>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</si>
  <si>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</si>
  <si>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</si>
  <si>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</si>
  <si>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</si>
  <si>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</si>
  <si>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</si>
  <si>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</si>
  <si>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</si>
  <si>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</si>
  <si>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</si>
  <si>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</si>
  <si>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</si>
  <si>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</si>
  <si>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</si>
  <si>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</si>
  <si>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</si>
  <si>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</si>
  <si>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</si>
  <si>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</si>
  <si>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</si>
  <si>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</si>
  <si>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</si>
  <si>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</si>
  <si>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</si>
  <si>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</si>
  <si>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</si>
  <si>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</si>
  <si>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</si>
  <si>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</si>
  <si>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</si>
  <si>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</si>
  <si>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</si>
  <si>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</si>
  <si>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</si>
  <si>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</si>
  <si>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</si>
  <si>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</si>
  <si>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</si>
  <si>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</si>
  <si>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</si>
  <si>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</si>
  <si>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</si>
  <si>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</si>
  <si>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</si>
  <si>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</si>
  <si>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</si>
  <si>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</si>
  <si>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</si>
  <si>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</si>
  <si>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</si>
  <si>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</si>
  <si>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</si>
  <si>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</si>
  <si>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</si>
  <si>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</si>
  <si>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</si>
  <si>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</si>
  <si>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</si>
  <si>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</si>
  <si>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</si>
  <si>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</si>
  <si>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</si>
  <si>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</si>
  <si>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</si>
  <si>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</si>
  <si>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</si>
  <si>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</si>
  <si>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</si>
  <si>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</si>
  <si>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</si>
  <si>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</si>
  <si>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</si>
  <si>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</si>
  <si>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</si>
  <si>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</si>
  <si>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</si>
  <si>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</si>
  <si>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</si>
  <si>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</si>
  <si>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</si>
  <si>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</si>
  <si>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</si>
  <si>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</si>
  <si>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</si>
  <si>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</si>
  <si>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</si>
  <si>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</si>
  <si>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</si>
  <si>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</si>
  <si>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</si>
  <si>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</si>
  <si>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</si>
  <si>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</si>
  <si>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</si>
  <si>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</si>
  <si>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</si>
  <si>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</si>
  <si>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</si>
  <si>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</si>
  <si>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</si>
  <si>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</si>
  <si>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</si>
  <si>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</si>
  <si>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</si>
  <si>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</si>
  <si>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</si>
  <si>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</si>
  <si>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</si>
  <si>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</si>
  <si>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</si>
  <si>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</si>
  <si>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</si>
  <si>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</si>
  <si>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</si>
  <si>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</si>
  <si>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</si>
  <si>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</si>
  <si>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</si>
  <si>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</si>
  <si>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</si>
  <si>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</si>
  <si>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</si>
  <si>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</si>
  <si>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</si>
  <si>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</si>
  <si>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</si>
  <si>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</si>
  <si>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</si>
  <si>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</si>
  <si>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</si>
  <si>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</si>
  <si>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</si>
  <si>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</si>
  <si>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</si>
  <si>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</si>
  <si>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</si>
  <si>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</si>
  <si>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</si>
  <si>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</si>
  <si>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</si>
  <si>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</si>
  <si>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</si>
  <si>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</si>
  <si>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</si>
  <si>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</si>
  <si>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</si>
  <si>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</si>
  <si>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</si>
  <si>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</si>
  <si>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</si>
  <si>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</si>
  <si>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</si>
  <si>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</si>
  <si>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</si>
  <si>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</si>
  <si>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</si>
  <si>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</si>
  <si>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</si>
  <si>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</si>
  <si>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</si>
  <si>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</si>
  <si>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</si>
  <si>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</si>
  <si>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</si>
  <si>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</si>
  <si>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</si>
  <si>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</si>
  <si>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</si>
  <si>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</si>
  <si>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</si>
  <si>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</si>
  <si>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</si>
  <si>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</si>
  <si>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</si>
  <si>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</si>
  <si>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</si>
  <si>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</si>
  <si>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</si>
  <si>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</si>
  <si>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</si>
  <si>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</si>
  <si>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</si>
  <si>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</si>
  <si>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</si>
  <si>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</si>
  <si>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</si>
  <si>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</si>
  <si>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</si>
  <si>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</si>
  <si>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</si>
  <si>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</si>
  <si>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</si>
  <si>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</si>
  <si>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</si>
  <si>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</si>
  <si>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</si>
  <si>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</si>
  <si>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</si>
  <si>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</si>
  <si>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</si>
  <si>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</si>
  <si>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</si>
  <si>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</si>
  <si>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</si>
  <si>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</si>
  <si>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</si>
  <si>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</si>
  <si>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</si>
  <si>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</si>
  <si>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</si>
  <si>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</si>
  <si>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</si>
  <si>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</si>
  <si>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</si>
  <si>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</si>
  <si>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</si>
  <si>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</si>
  <si>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</si>
  <si>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</si>
  <si>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</si>
  <si>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</si>
  <si>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</si>
  <si>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</si>
  <si>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</si>
  <si>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</si>
  <si>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</si>
  <si>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</si>
  <si>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</si>
  <si>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</si>
  <si>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</si>
  <si>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</si>
  <si>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</si>
  <si>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</si>
  <si>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</si>
  <si>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</si>
  <si>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</si>
  <si>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</si>
  <si>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</si>
  <si>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</si>
  <si>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</si>
  <si>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</si>
  <si>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</si>
  <si>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</si>
  <si>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</si>
  <si>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</si>
  <si>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</si>
  <si>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</si>
  <si>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</si>
  <si>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</si>
  <si>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</si>
  <si>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</si>
  <si>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</si>
  <si>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</si>
  <si>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</si>
  <si>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</si>
  <si>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</si>
  <si>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</si>
  <si>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</si>
  <si>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</si>
  <si>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</si>
  <si>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</si>
  <si>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</si>
  <si>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</si>
  <si>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</si>
  <si>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</si>
  <si>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</si>
  <si>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</si>
  <si>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</si>
  <si>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</si>
  <si>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</si>
  <si>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</si>
  <si>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</si>
  <si>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</si>
  <si>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</si>
  <si>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</si>
  <si>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</si>
  <si>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</si>
  <si>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</si>
  <si>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</si>
  <si>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</si>
  <si>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</si>
  <si>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</si>
  <si>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</si>
  <si>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</si>
  <si>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</si>
  <si>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</si>
  <si>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</si>
  <si>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</si>
  <si>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</si>
  <si>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</si>
  <si>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</si>
  <si>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</si>
  <si>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</si>
  <si>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</si>
  <si>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</si>
  <si>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</si>
  <si>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</si>
  <si>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</si>
  <si>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</si>
  <si>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</si>
  <si>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</si>
  <si>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</si>
  <si>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</si>
  <si>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</si>
  <si>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</si>
  <si>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</si>
  <si>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</si>
  <si>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</si>
  <si>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</si>
  <si>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</si>
  <si>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</si>
  <si>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</si>
  <si>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</si>
  <si>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</si>
  <si>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</si>
  <si>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</si>
  <si>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</si>
  <si>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</si>
  <si>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</si>
  <si>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</si>
  <si>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</si>
  <si>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</si>
  <si>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</si>
  <si>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</si>
  <si>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</si>
  <si>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</si>
  <si>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</si>
  <si>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</si>
  <si>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</si>
  <si>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</si>
  <si>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</si>
  <si>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</si>
  <si>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</si>
  <si>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</si>
  <si>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</si>
  <si>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</si>
  <si>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</si>
  <si>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</si>
  <si>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</si>
  <si>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</si>
  <si>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</si>
  <si>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</si>
  <si>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</si>
  <si>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</si>
  <si>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</si>
  <si>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</si>
  <si>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</si>
  <si>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</si>
  <si>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</si>
  <si>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</si>
  <si>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</si>
  <si>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</si>
  <si>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</si>
  <si>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</si>
  <si>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</si>
  <si>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</si>
  <si>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</si>
  <si>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</si>
  <si>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</si>
  <si>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</si>
  <si>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</si>
  <si>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</si>
  <si>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</si>
  <si>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</si>
  <si>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</si>
  <si>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</si>
  <si>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</si>
  <si>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</si>
  <si>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</si>
  <si>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</si>
  <si>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</si>
  <si>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</si>
  <si>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</si>
  <si>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</si>
  <si>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</si>
  <si>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</si>
  <si>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</si>
  <si>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</si>
  <si>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</si>
  <si>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</si>
  <si>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</si>
  <si>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</si>
  <si>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</si>
  <si>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</si>
  <si>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</si>
  <si>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</si>
  <si>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</si>
  <si>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</si>
  <si>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</si>
  <si>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</si>
  <si>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</si>
  <si>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</si>
  <si>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</si>
  <si>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</si>
  <si>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</si>
  <si>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</si>
  <si>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</si>
  <si>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</si>
  <si>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</si>
  <si>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</si>
  <si>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</si>
  <si>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</si>
  <si>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</si>
  <si>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</si>
  <si>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</si>
  <si>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</si>
  <si>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</si>
  <si>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</si>
  <si>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</si>
  <si>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</si>
  <si>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</si>
  <si>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</si>
  <si>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</si>
  <si>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</si>
  <si>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</si>
  <si>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</si>
  <si>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</si>
  <si>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</si>
  <si>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</si>
  <si>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</si>
  <si>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</si>
  <si>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</si>
  <si>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</si>
  <si>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</si>
  <si>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</si>
  <si>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</si>
  <si>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</si>
  <si>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</si>
  <si>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</si>
  <si>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</si>
  <si>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</si>
  <si>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</si>
  <si>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</si>
  <si>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</si>
  <si>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</si>
  <si>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</si>
  <si>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</si>
  <si>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</si>
  <si>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</si>
  <si>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</si>
  <si>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</si>
  <si>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</si>
  <si>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</si>
  <si>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</si>
  <si>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</si>
  <si>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</si>
  <si>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</si>
  <si>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</si>
  <si>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</si>
  <si>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</si>
  <si>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</si>
  <si>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</si>
  <si>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</si>
  <si>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</si>
  <si>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</si>
  <si>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</si>
  <si>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</si>
  <si>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</si>
  <si>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</si>
  <si>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</si>
  <si>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</si>
  <si>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</si>
  <si>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</si>
  <si>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</si>
  <si>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</si>
  <si>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</si>
  <si>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</si>
  <si>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</si>
  <si>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</si>
  <si>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</si>
  <si>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</si>
  <si>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</si>
  <si>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</si>
  <si>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</si>
  <si>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</si>
  <si>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</si>
  <si>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</si>
  <si>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</si>
  <si>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</si>
  <si>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</si>
  <si>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</si>
  <si>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</si>
  <si>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</si>
  <si>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</si>
  <si>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</si>
  <si>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</si>
  <si>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</si>
  <si>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</si>
  <si>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</si>
  <si>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</si>
  <si>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</si>
  <si>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</si>
  <si>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</si>
  <si>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</si>
  <si>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</si>
  <si>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</si>
  <si>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</si>
  <si>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</si>
  <si>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</si>
  <si>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</si>
  <si>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</si>
  <si>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</si>
  <si>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</si>
  <si>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</si>
  <si>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</si>
  <si>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</si>
  <si>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</si>
  <si>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</si>
  <si>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</si>
  <si>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</si>
  <si>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</si>
  <si>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</si>
  <si>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</si>
  <si>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</si>
  <si>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</si>
  <si>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</si>
  <si>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</si>
  <si>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</si>
  <si>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</si>
  <si>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</si>
  <si>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</si>
  <si>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</si>
  <si>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</si>
  <si>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</si>
  <si>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</si>
  <si>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</si>
  <si>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</si>
  <si>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</si>
  <si>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</si>
  <si>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</si>
  <si>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</si>
  <si>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</si>
  <si>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</si>
  <si>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</si>
  <si>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</si>
  <si>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</si>
  <si>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</si>
  <si>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</si>
  <si>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</si>
  <si>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</si>
  <si>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</si>
  <si>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</si>
  <si>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</si>
  <si>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</si>
  <si>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</si>
  <si>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</si>
  <si>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</si>
  <si>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</si>
  <si>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</si>
  <si>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</si>
  <si>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</si>
  <si>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</si>
  <si>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</si>
  <si>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</si>
  <si>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</si>
  <si>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</si>
  <si>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</si>
  <si>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</si>
  <si>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</si>
  <si>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</si>
  <si>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</si>
  <si>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</si>
  <si>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</si>
  <si>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</si>
  <si>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</si>
  <si>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</si>
  <si>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</si>
  <si>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</si>
  <si>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</si>
  <si>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</si>
  <si>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</si>
  <si>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</si>
  <si>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</si>
  <si>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</si>
  <si>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</si>
  <si>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</si>
  <si>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</si>
  <si>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</si>
  <si>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</si>
  <si>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</si>
  <si>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</si>
  <si>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</si>
  <si>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</si>
  <si>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</si>
  <si>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</si>
  <si>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</si>
  <si>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</si>
  <si>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</si>
  <si>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</si>
  <si>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</si>
  <si>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</si>
  <si>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</si>
  <si>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</si>
  <si>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</si>
  <si>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</si>
  <si>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</si>
  <si>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</si>
  <si>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</si>
  <si>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</si>
  <si>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</si>
  <si>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</si>
  <si>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</si>
  <si>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</si>
  <si>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</si>
  <si>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</si>
  <si>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</si>
  <si>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</si>
  <si>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</si>
  <si>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</si>
  <si>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</si>
  <si>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</si>
  <si>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</si>
  <si>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</si>
  <si>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</si>
  <si>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</si>
  <si>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</si>
  <si>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</si>
  <si>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</si>
  <si>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</si>
  <si>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</si>
  <si>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</si>
  <si>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</si>
  <si>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</si>
  <si>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</si>
  <si>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</si>
  <si>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</si>
  <si>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</si>
  <si>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</si>
  <si>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</si>
  <si>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</si>
  <si>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</si>
  <si>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</si>
  <si>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</si>
  <si>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</si>
  <si>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</si>
  <si>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</si>
  <si>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</si>
  <si>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</si>
  <si>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</si>
  <si>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</si>
  <si>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</si>
  <si>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</si>
  <si>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</si>
  <si>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</si>
  <si>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</si>
  <si>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</si>
  <si>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</si>
  <si>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</si>
  <si>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</si>
  <si>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</si>
  <si>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</si>
  <si>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</si>
  <si>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</si>
  <si>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</si>
  <si>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</si>
  <si>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</si>
  <si>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</si>
  <si>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</si>
  <si>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</si>
  <si>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</si>
  <si>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</si>
  <si>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</si>
  <si>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</si>
  <si>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</si>
  <si>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</si>
  <si>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</si>
  <si>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</si>
  <si>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</si>
  <si>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</si>
  <si>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</si>
  <si>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</si>
  <si>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</si>
  <si>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</si>
  <si>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</si>
  <si>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</si>
  <si>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</si>
  <si>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</si>
  <si>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</si>
  <si>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</si>
  <si>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</si>
  <si>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</si>
  <si>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</si>
  <si>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</si>
  <si>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</si>
  <si>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</si>
  <si>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</si>
  <si>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</si>
  <si>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</si>
  <si>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</si>
  <si>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</si>
  <si>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</si>
  <si>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</si>
  <si>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</si>
  <si>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</si>
  <si>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</si>
  <si>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</si>
  <si>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</si>
  <si>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</si>
  <si>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</si>
  <si>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</si>
  <si>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</si>
  <si>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</si>
  <si>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</si>
  <si>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</si>
  <si>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</si>
  <si>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</si>
  <si>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</si>
  <si>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</si>
  <si>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</si>
  <si>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</si>
  <si>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</si>
  <si>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</si>
  <si>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</si>
  <si>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</si>
  <si>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</si>
  <si>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</si>
  <si>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</si>
  <si>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</si>
  <si>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</si>
  <si>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</si>
  <si>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</si>
  <si>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</si>
  <si>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</si>
  <si>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</si>
  <si>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</si>
  <si>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</si>
  <si>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</si>
  <si>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</si>
  <si>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</si>
  <si>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</si>
  <si>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</si>
  <si>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</si>
  <si>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</si>
  <si>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</si>
  <si>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</si>
  <si>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</si>
  <si>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</si>
  <si>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</si>
  <si>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</si>
  <si>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</si>
  <si>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</si>
  <si>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</si>
  <si>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</si>
  <si>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</si>
  <si>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</si>
  <si>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</si>
  <si>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</si>
  <si>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</si>
  <si>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</si>
  <si>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</si>
  <si>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</si>
  <si>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</si>
  <si>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</si>
  <si>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</si>
  <si>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</si>
  <si>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</si>
  <si>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</si>
  <si>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</si>
  <si>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</si>
  <si>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</si>
  <si>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</si>
  <si>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</si>
  <si>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</si>
  <si>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</si>
  <si>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</si>
  <si>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</si>
  <si>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</si>
  <si>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</si>
  <si>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</si>
  <si>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</si>
  <si>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</si>
  <si>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</si>
  <si>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</si>
  <si>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</si>
  <si>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</si>
  <si>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</si>
  <si>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</si>
  <si>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</si>
  <si>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</si>
  <si>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</si>
  <si>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</si>
  <si>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</si>
  <si>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</si>
  <si>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</si>
  <si>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</si>
  <si>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</si>
  <si>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</si>
  <si>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</si>
  <si>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</si>
  <si>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</si>
  <si>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</si>
  <si>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</si>
  <si>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</si>
  <si>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</si>
  <si>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</si>
  <si>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</si>
  <si>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</si>
  <si>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</si>
  <si>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</si>
  <si>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</si>
  <si>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</si>
  <si>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</si>
  <si>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</si>
  <si>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</si>
  <si>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</si>
  <si>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</si>
  <si>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</si>
  <si>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</si>
  <si>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</si>
  <si>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</si>
  <si>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</si>
  <si>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</si>
  <si>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</si>
  <si>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</si>
  <si>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</si>
  <si>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</si>
  <si>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</si>
  <si>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</si>
  <si>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</si>
  <si>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</si>
  <si>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</si>
  <si>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</si>
  <si>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</si>
  <si>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</si>
  <si>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</si>
  <si>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</si>
  <si>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</si>
  <si>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</si>
  <si>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</si>
  <si>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</si>
  <si>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</si>
  <si>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</si>
  <si>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</si>
  <si>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</si>
  <si>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</si>
  <si>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</si>
  <si>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</si>
  <si>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</si>
  <si>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</si>
  <si>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</si>
  <si>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</si>
  <si>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</si>
  <si>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</si>
  <si>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</si>
  <si>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</si>
  <si>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</si>
  <si>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</si>
  <si>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</si>
  <si>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</si>
  <si>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</si>
  <si>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</si>
  <si>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</si>
  <si>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</si>
  <si>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</si>
  <si>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</si>
  <si>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</si>
  <si>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</si>
  <si>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</si>
  <si>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</si>
  <si>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</si>
  <si>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</si>
  <si>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</si>
  <si>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</si>
  <si>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</si>
  <si>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</si>
  <si>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</si>
  <si>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</si>
  <si>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</si>
  <si>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</si>
  <si>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</si>
  <si>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</si>
  <si>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</si>
  <si>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</si>
  <si>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</si>
  <si>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</si>
  <si>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</si>
  <si>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</si>
  <si>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</si>
  <si>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</si>
  <si>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</si>
  <si>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</si>
  <si>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</si>
  <si>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</si>
  <si>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</si>
  <si>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</si>
  <si>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</si>
  <si>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</si>
  <si>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</si>
  <si>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</si>
  <si>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</si>
  <si>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</si>
  <si>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</si>
  <si>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</si>
  <si>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</si>
  <si>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</si>
  <si>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</si>
  <si>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</si>
  <si>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</si>
  <si>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</si>
  <si>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</si>
  <si>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</si>
  <si>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</si>
  <si>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</si>
  <si>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</si>
  <si>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</si>
  <si>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</si>
  <si>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</si>
  <si>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</si>
  <si>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</si>
  <si>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</si>
  <si>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</si>
  <si>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</si>
  <si>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</si>
  <si>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</si>
  <si>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</si>
  <si>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</si>
  <si>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</si>
  <si>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</si>
  <si>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</si>
  <si>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</si>
  <si>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</si>
  <si>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</si>
  <si>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</si>
  <si>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</si>
  <si>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</si>
  <si>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</si>
  <si>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</si>
  <si>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</si>
  <si>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</si>
  <si>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</si>
  <si>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</si>
  <si>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</si>
  <si>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</si>
  <si>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</si>
  <si>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</si>
  <si>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</si>
  <si>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</si>
  <si>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</si>
  <si>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</si>
  <si>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</si>
  <si>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</si>
  <si>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</si>
  <si>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</si>
  <si>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</si>
  <si>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</si>
  <si>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</si>
  <si>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</si>
  <si>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</si>
  <si>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</si>
  <si>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</si>
  <si>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</si>
  <si>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</si>
  <si>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</si>
  <si>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</si>
  <si>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</si>
  <si>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</si>
  <si>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</si>
  <si>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</si>
  <si>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</si>
  <si>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</si>
  <si>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</si>
  <si>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</si>
  <si>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</si>
  <si>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</si>
  <si>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</si>
  <si>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</si>
  <si>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</si>
  <si>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</si>
  <si>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</si>
  <si>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</si>
  <si>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</si>
  <si>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</si>
  <si>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</si>
  <si>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</si>
  <si>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</si>
  <si>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</si>
  <si>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</si>
  <si>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</si>
  <si>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</si>
  <si>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</si>
  <si>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</si>
  <si>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</si>
  <si>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</si>
  <si>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</si>
  <si>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</si>
  <si>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</si>
  <si>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</si>
  <si>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</si>
  <si>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</si>
  <si>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</si>
  <si>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</si>
  <si>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</si>
  <si>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</si>
  <si>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</si>
  <si>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</si>
  <si>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</si>
  <si>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</si>
  <si>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</si>
  <si>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</si>
  <si>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</si>
  <si>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</si>
  <si>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</si>
  <si>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</si>
  <si>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</si>
  <si>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</si>
  <si>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</si>
  <si>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</si>
  <si>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</si>
  <si>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</si>
  <si>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</si>
  <si>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</si>
  <si>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</si>
  <si>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</si>
  <si>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</si>
  <si>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</si>
  <si>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</si>
  <si>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</si>
  <si>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</si>
  <si>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</si>
  <si>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</si>
  <si>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</si>
  <si>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</si>
  <si>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</si>
  <si>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</si>
  <si>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</si>
  <si>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</si>
  <si>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</si>
  <si>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</si>
  <si>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</si>
  <si>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</si>
  <si>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</si>
  <si>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</si>
  <si>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</si>
  <si>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</si>
  <si>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</si>
  <si>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</si>
  <si>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</si>
  <si>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</si>
  <si>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</si>
  <si>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</si>
  <si>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</si>
  <si>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</si>
  <si>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</si>
  <si>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</si>
  <si>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</si>
  <si>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</si>
  <si>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</si>
  <si>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</si>
  <si>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</si>
  <si>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</si>
  <si>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</si>
  <si>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</si>
  <si>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</si>
  <si>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</si>
  <si>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</si>
  <si>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</si>
  <si>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</si>
  <si>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</si>
  <si>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</si>
  <si>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</si>
  <si>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</si>
  <si>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</si>
  <si>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</si>
  <si>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</si>
  <si>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</si>
  <si>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</si>
  <si>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</si>
  <si>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</si>
  <si>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</si>
  <si>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</si>
  <si>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</si>
  <si>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</si>
  <si>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</si>
  <si>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</si>
  <si>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</si>
  <si>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</si>
  <si>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</si>
  <si>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</si>
  <si>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</si>
  <si>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</si>
  <si>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</si>
  <si>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</si>
  <si>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</si>
  <si>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</si>
  <si>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</si>
  <si>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</si>
  <si>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</si>
  <si>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</si>
  <si>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</si>
  <si>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</si>
  <si>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</si>
  <si>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</si>
  <si>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</si>
  <si>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</si>
  <si>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</si>
  <si>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</si>
  <si>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</si>
  <si>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</si>
  <si>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</si>
  <si>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</si>
  <si>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</si>
  <si>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</si>
  <si>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</si>
  <si>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</si>
  <si>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</si>
  <si>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</si>
  <si>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</si>
  <si>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</si>
  <si>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</si>
  <si>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</si>
  <si>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</si>
  <si>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</si>
  <si>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</si>
  <si>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</si>
  <si>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</si>
  <si>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</si>
  <si>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</si>
  <si>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</si>
  <si>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</si>
  <si>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</si>
  <si>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</si>
  <si>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</si>
  <si>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</si>
  <si>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</si>
  <si>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</si>
  <si>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</si>
  <si>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</si>
  <si>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</si>
  <si>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</si>
  <si>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</si>
  <si>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</si>
  <si>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</si>
  <si>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</si>
  <si>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</si>
  <si>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</si>
  <si>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</si>
  <si>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</si>
  <si>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</si>
  <si>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</si>
  <si>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</si>
  <si>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</si>
  <si>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</si>
  <si>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</si>
  <si>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</si>
  <si>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</si>
  <si>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</si>
  <si>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</si>
  <si>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</si>
  <si>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</si>
  <si>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</si>
  <si>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</si>
  <si>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</si>
  <si>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</si>
  <si>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</si>
  <si>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</si>
  <si>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</si>
  <si>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</si>
  <si>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</si>
  <si>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</si>
  <si>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</si>
  <si>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</si>
  <si>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</si>
  <si>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</si>
  <si>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</si>
  <si>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</si>
  <si>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</si>
  <si>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</si>
  <si>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</si>
  <si>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</si>
  <si>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</si>
  <si>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</si>
  <si>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</si>
  <si>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</si>
  <si>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</si>
  <si>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</si>
  <si>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</si>
  <si>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</si>
  <si>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</si>
  <si>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</si>
  <si>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</si>
  <si>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</si>
  <si>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</si>
  <si>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</si>
  <si>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</si>
  <si>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</si>
  <si>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</si>
  <si>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</si>
  <si>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</si>
  <si>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</si>
  <si>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</si>
  <si>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</si>
  <si>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</si>
  <si>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</si>
  <si>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</si>
  <si>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</si>
  <si>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</si>
  <si>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</si>
  <si>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</si>
  <si>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</si>
  <si>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</si>
  <si>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</si>
  <si>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</si>
  <si>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</si>
  <si>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</si>
  <si>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</si>
  <si>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</si>
  <si>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</si>
  <si>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</si>
  <si>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</si>
  <si>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</si>
  <si>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</si>
  <si>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</si>
  <si>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</si>
  <si>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</si>
  <si>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</si>
  <si>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</si>
  <si>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</si>
  <si>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</si>
  <si>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</si>
  <si>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</si>
  <si>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</si>
  <si>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</si>
  <si>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</si>
  <si>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</si>
  <si>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</si>
  <si>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</si>
  <si>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</si>
  <si>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</si>
  <si>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</si>
  <si>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</si>
  <si>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</si>
  <si>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</si>
  <si>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</si>
  <si>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</si>
  <si>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</si>
  <si>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</si>
  <si>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</si>
  <si>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</si>
  <si>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</si>
  <si>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</si>
  <si>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</si>
  <si>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</si>
  <si>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</si>
  <si>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</si>
  <si>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</si>
  <si>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</si>
  <si>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</si>
  <si>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</si>
  <si>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</si>
  <si>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</si>
  <si>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</si>
  <si>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</si>
  <si>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</si>
  <si>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</si>
  <si>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</si>
  <si>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</si>
  <si>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</si>
  <si>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</si>
  <si>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</si>
  <si>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</si>
  <si>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</si>
  <si>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</si>
  <si>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</si>
  <si>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</si>
  <si>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</si>
  <si>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</si>
  <si>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</si>
  <si>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</si>
  <si>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</si>
  <si>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</si>
  <si>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</si>
  <si>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</si>
  <si>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</si>
  <si>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</si>
  <si>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</si>
  <si>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</si>
  <si>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</si>
  <si>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</si>
  <si>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</si>
  <si>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</si>
  <si>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</si>
  <si>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</si>
  <si>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</si>
  <si>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</si>
  <si>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</si>
  <si>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</si>
  <si>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</si>
  <si>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</si>
  <si>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</si>
  <si>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</si>
  <si>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</si>
  <si>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</si>
  <si>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</si>
  <si>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</si>
  <si>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</si>
  <si>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</si>
  <si>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</si>
  <si>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</si>
  <si>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</si>
  <si>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</si>
  <si>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</si>
  <si>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</si>
  <si>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</si>
  <si>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</si>
  <si>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</si>
  <si>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</si>
  <si>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</si>
  <si>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</si>
  <si>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</si>
  <si>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</si>
  <si>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</si>
  <si>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</si>
  <si>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</si>
  <si>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</si>
  <si>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</si>
  <si>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</si>
  <si>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</si>
  <si>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</si>
  <si>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</si>
  <si>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</si>
  <si>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</si>
  <si>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</si>
  <si>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</si>
  <si>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</si>
  <si>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</si>
  <si>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</si>
  <si>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</si>
  <si>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</si>
  <si>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</si>
  <si>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</si>
  <si>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</si>
  <si>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</si>
  <si>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</si>
  <si>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</si>
  <si>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</si>
  <si>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</si>
  <si>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</si>
  <si>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</si>
  <si>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</si>
  <si>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</si>
  <si>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</si>
  <si>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</si>
  <si>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</si>
  <si>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</si>
  <si>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</si>
  <si>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</si>
  <si>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</si>
  <si>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</si>
  <si>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</si>
  <si>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</si>
  <si>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</si>
  <si>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</si>
  <si>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</si>
  <si>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</si>
  <si>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</si>
  <si>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</si>
  <si>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</si>
  <si>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</si>
  <si>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</si>
  <si>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</si>
  <si>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</si>
  <si>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</si>
  <si>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</si>
  <si>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</si>
  <si>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</si>
  <si>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</si>
  <si>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</si>
  <si>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</si>
  <si>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</si>
  <si>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</si>
  <si>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</si>
  <si>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</si>
  <si>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</si>
  <si>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</si>
  <si>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</si>
  <si>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</si>
  <si>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</si>
  <si>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</si>
  <si>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</si>
  <si>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</si>
  <si>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</si>
  <si>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</si>
  <si>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</si>
  <si>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</si>
  <si>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</si>
  <si>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</si>
  <si>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</si>
  <si>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</si>
  <si>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</si>
  <si>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</si>
  <si>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</si>
  <si>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</si>
  <si>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</si>
  <si>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</si>
  <si>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</si>
  <si>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</si>
  <si>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</si>
  <si>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</si>
  <si>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</si>
  <si>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</si>
  <si>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</si>
  <si>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</si>
  <si>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</si>
  <si>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</si>
  <si>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</si>
  <si>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</si>
  <si>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</si>
  <si>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</si>
  <si>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</si>
  <si>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</si>
  <si>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</si>
  <si>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</si>
  <si>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</si>
  <si>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</si>
  <si>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</si>
  <si>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</si>
  <si>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</si>
  <si>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</si>
  <si>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</si>
  <si>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</si>
  <si>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</si>
  <si>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</si>
  <si>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</si>
  <si>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</si>
  <si>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</si>
  <si>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</si>
  <si>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</si>
  <si>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</si>
  <si>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</si>
  <si>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</si>
  <si>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</si>
  <si>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</si>
  <si>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</si>
  <si>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</si>
  <si>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</si>
  <si>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</si>
  <si>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</si>
  <si>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</si>
  <si>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</si>
  <si>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</si>
  <si>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</si>
  <si>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</si>
  <si>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</si>
  <si>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</si>
  <si>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</si>
  <si>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</si>
  <si>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</si>
  <si>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</si>
  <si>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</si>
  <si>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</si>
  <si>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</si>
  <si>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</si>
  <si>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</si>
  <si>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</si>
  <si>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</si>
  <si>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</si>
  <si>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</si>
  <si>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</si>
  <si>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</si>
  <si>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</si>
  <si>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</si>
  <si>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</si>
  <si>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</si>
  <si>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</si>
  <si>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</si>
  <si>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</si>
  <si>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</si>
  <si>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</si>
  <si>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</si>
  <si>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</si>
  <si>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</si>
  <si>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</si>
  <si>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</si>
  <si>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</si>
  <si>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</si>
  <si>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</si>
  <si>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</si>
  <si>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</si>
  <si>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</si>
  <si>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</si>
  <si>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</si>
  <si>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</si>
  <si>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</si>
  <si>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</si>
  <si>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</si>
  <si>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</si>
  <si>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</si>
  <si>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</si>
  <si>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</si>
  <si>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</si>
  <si>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</si>
  <si>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</si>
  <si>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</si>
  <si>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</si>
  <si>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</si>
  <si>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</si>
  <si>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</si>
  <si>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</si>
  <si>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</si>
  <si>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</si>
  <si>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</si>
  <si>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</si>
  <si>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</si>
  <si>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</si>
  <si>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</si>
  <si>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</si>
  <si>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</si>
  <si>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</si>
  <si>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</si>
  <si>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</si>
  <si>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</si>
  <si>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</si>
  <si>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</si>
  <si>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</si>
  <si>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</si>
  <si>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</si>
  <si>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</si>
  <si>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</si>
  <si>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</si>
  <si>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</si>
  <si>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</si>
  <si>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</si>
  <si>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</si>
  <si>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</si>
  <si>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</si>
  <si>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</si>
  <si>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</si>
  <si>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</si>
  <si>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</si>
  <si>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</si>
  <si>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</si>
  <si>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</si>
  <si>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</si>
  <si>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</si>
  <si>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</si>
  <si>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</si>
  <si>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</si>
  <si>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</si>
  <si>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</si>
  <si>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</si>
  <si>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</si>
  <si>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</si>
  <si>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</si>
  <si>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</si>
  <si>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</si>
  <si>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</si>
  <si>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</si>
  <si>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</si>
  <si>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</si>
  <si>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</si>
  <si>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</si>
  <si>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</si>
  <si>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</si>
  <si>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</si>
  <si>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</si>
  <si>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</si>
  <si>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</si>
  <si>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</si>
  <si>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</si>
  <si>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</si>
  <si>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</si>
  <si>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</si>
  <si>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</si>
  <si>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</si>
  <si>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</si>
  <si>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</si>
  <si>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</si>
  <si>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</si>
  <si>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</si>
  <si>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</si>
  <si>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</si>
  <si>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</si>
  <si>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</si>
  <si>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</si>
  <si>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</si>
  <si>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</si>
  <si>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</si>
  <si>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</si>
  <si>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</si>
  <si>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</si>
  <si>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</si>
  <si>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</si>
  <si>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</si>
  <si>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</si>
  <si>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</si>
  <si>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</si>
  <si>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</si>
  <si>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</si>
  <si>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</si>
  <si>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</si>
  <si>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</si>
  <si>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</si>
  <si>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</si>
  <si>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</si>
  <si>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</si>
  <si>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</si>
  <si>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</si>
  <si>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</si>
  <si>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</si>
  <si>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</si>
  <si>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</si>
  <si>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</si>
  <si>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</si>
  <si>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</si>
  <si>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</si>
  <si>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</si>
  <si>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</si>
  <si>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</si>
  <si>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</si>
  <si>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</si>
  <si>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</si>
  <si>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</si>
  <si>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</si>
  <si>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</si>
  <si>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</si>
  <si>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</si>
  <si>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</si>
  <si>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</si>
  <si>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</si>
  <si>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</si>
  <si>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</si>
  <si>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</si>
  <si>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</si>
  <si>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</si>
  <si>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</si>
  <si>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</si>
  <si>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</si>
  <si>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</si>
  <si>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</si>
  <si>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</si>
  <si>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</si>
  <si>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</si>
  <si>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</si>
  <si>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</si>
  <si>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</si>
  <si>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</si>
  <si>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</si>
  <si>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</si>
  <si>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</si>
  <si>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</si>
  <si>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</si>
  <si>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</si>
  <si>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</si>
  <si>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</si>
  <si>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</si>
  <si>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</si>
  <si>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</si>
  <si>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</si>
  <si>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</si>
  <si>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</si>
  <si>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</si>
  <si>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</si>
  <si>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</si>
  <si>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</si>
  <si>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</si>
  <si>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</si>
  <si>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</si>
  <si>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</si>
  <si>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</si>
  <si>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</si>
  <si>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</si>
  <si>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</si>
  <si>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</si>
  <si>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</si>
  <si>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</si>
  <si>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</si>
  <si>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</si>
  <si>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</si>
  <si>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</si>
  <si>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</si>
  <si>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</si>
  <si>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</si>
  <si>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</si>
  <si>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</si>
  <si>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</si>
  <si>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</si>
  <si>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</si>
  <si>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</si>
  <si>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</si>
  <si>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</si>
  <si>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</si>
  <si>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</si>
  <si>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</si>
  <si>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</si>
  <si>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</si>
  <si>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</si>
  <si>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</si>
  <si>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</si>
  <si>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</si>
  <si>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</si>
  <si>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</si>
  <si>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</si>
  <si>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</si>
  <si>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</si>
  <si>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</si>
  <si>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</si>
  <si>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</si>
  <si>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</si>
  <si>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</si>
  <si>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</si>
  <si>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</si>
  <si>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</si>
  <si>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</si>
  <si>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</si>
  <si>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</si>
  <si>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</si>
  <si>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</si>
  <si>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</si>
  <si>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</si>
  <si>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</si>
  <si>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</si>
  <si>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</si>
  <si>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</si>
  <si>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</si>
  <si>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</si>
  <si>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</si>
  <si>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</si>
  <si>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</si>
  <si>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</si>
  <si>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</si>
  <si>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</si>
  <si>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</si>
  <si>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</si>
  <si>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</si>
  <si>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</si>
  <si>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</si>
  <si>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</si>
  <si>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</si>
  <si>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</si>
  <si>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</si>
  <si>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</si>
  <si>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</si>
  <si>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</si>
  <si>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</si>
  <si>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</si>
  <si>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</si>
  <si>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</si>
  <si>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</si>
  <si>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</si>
  <si>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</si>
  <si>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</si>
  <si>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</si>
  <si>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</si>
  <si>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</si>
  <si>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</si>
  <si>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</si>
  <si>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</si>
  <si>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</si>
  <si>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</si>
  <si>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</si>
  <si>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</si>
  <si>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</si>
  <si>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</si>
  <si>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</si>
  <si>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</si>
  <si>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</si>
  <si>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</si>
  <si>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</si>
  <si>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</si>
  <si>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</si>
  <si>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</si>
  <si>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</si>
  <si>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</si>
  <si>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</si>
  <si>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</si>
  <si>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</si>
  <si>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</si>
  <si>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</si>
  <si>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</si>
  <si>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</si>
  <si>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</si>
  <si>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</si>
  <si>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</si>
  <si>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</si>
  <si>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</si>
  <si>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</si>
  <si>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</si>
  <si>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</si>
  <si>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</si>
  <si>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</si>
  <si>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</si>
  <si>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</si>
  <si>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</si>
  <si>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</si>
  <si>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</si>
  <si>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</si>
  <si>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</si>
  <si>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</si>
  <si>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</si>
  <si>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</si>
  <si>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</si>
  <si>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</si>
  <si>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</si>
  <si>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</si>
  <si>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</si>
  <si>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</si>
  <si>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</si>
  <si>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</si>
  <si>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</si>
  <si>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</si>
  <si>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</si>
  <si>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</si>
  <si>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</si>
  <si>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</si>
  <si>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</si>
  <si>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</si>
  <si>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</si>
  <si>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</si>
  <si>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</si>
  <si>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</si>
  <si>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</si>
  <si>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</si>
  <si>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</si>
  <si>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</si>
  <si>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</si>
  <si>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</si>
  <si>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</si>
  <si>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</si>
  <si>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</si>
  <si>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</si>
  <si>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</si>
  <si>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</si>
  <si>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</si>
  <si>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</si>
  <si>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</si>
  <si>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</si>
  <si>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</si>
  <si>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</si>
  <si>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</si>
  <si>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</si>
  <si>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</si>
  <si>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</si>
  <si>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</si>
  <si>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</si>
  <si>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</si>
  <si>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</si>
  <si>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</si>
  <si>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</si>
  <si>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</si>
  <si>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</si>
  <si>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</si>
  <si>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</si>
  <si>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</si>
  <si>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</si>
  <si>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</si>
  <si>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</si>
  <si>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</si>
  <si>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</si>
  <si>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</si>
  <si>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</si>
  <si>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</si>
  <si>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</si>
  <si>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</si>
  <si>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</si>
  <si>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</si>
  <si>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</si>
  <si>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</si>
  <si>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</si>
  <si>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</si>
  <si>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</si>
  <si>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</si>
  <si>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</si>
  <si>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</si>
  <si>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</si>
  <si>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</si>
  <si>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</si>
  <si>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</si>
  <si>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</si>
  <si>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</si>
  <si>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</si>
  <si>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</si>
  <si>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</si>
  <si>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</si>
  <si>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</si>
  <si>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</si>
  <si>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</si>
  <si>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</si>
  <si>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</si>
  <si>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</si>
  <si>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</si>
  <si>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</si>
  <si>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</si>
  <si>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</si>
  <si>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</si>
  <si>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</si>
  <si>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</si>
  <si>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</si>
  <si>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</si>
  <si>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</si>
  <si>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</si>
  <si>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</si>
  <si>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</si>
  <si>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</si>
  <si>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</si>
  <si>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</si>
  <si>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</si>
  <si>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</si>
  <si>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</si>
  <si>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</si>
  <si>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</si>
  <si>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</si>
  <si>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</si>
  <si>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</si>
  <si>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</si>
  <si>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</si>
  <si>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</si>
  <si>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</si>
  <si>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</si>
  <si>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</si>
  <si>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</si>
  <si>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</si>
  <si>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</si>
  <si>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</si>
  <si>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</si>
  <si>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</si>
  <si>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</si>
  <si>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</si>
  <si>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</si>
  <si>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</si>
  <si>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</si>
  <si>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</si>
  <si>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</si>
  <si>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</si>
  <si>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</si>
  <si>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</si>
  <si>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</si>
  <si>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</si>
  <si>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</si>
  <si>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</si>
  <si>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</si>
  <si>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</si>
  <si>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</si>
  <si>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</si>
  <si>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</si>
  <si>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</si>
  <si>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</si>
  <si>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</si>
  <si>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</si>
  <si>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</si>
  <si>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</si>
  <si>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</si>
  <si>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</si>
  <si>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</si>
  <si>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</si>
  <si>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</si>
  <si>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</si>
  <si>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</si>
  <si>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</si>
  <si>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</si>
  <si>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</si>
  <si>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</si>
  <si>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</si>
  <si>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</si>
  <si>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</si>
  <si>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</si>
  <si>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</si>
  <si>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</si>
  <si>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</si>
  <si>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</si>
  <si>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</si>
  <si>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</si>
  <si>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</si>
  <si>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</si>
  <si>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</si>
  <si>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</si>
  <si>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</si>
  <si>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</si>
  <si>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</si>
  <si>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</si>
  <si>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</si>
  <si>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</si>
  <si>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</si>
  <si>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</si>
  <si>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</si>
  <si>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</si>
  <si>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</si>
  <si>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</si>
  <si>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</si>
  <si>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</si>
  <si>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</si>
  <si>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</si>
  <si>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</si>
  <si>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</si>
  <si>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</si>
  <si>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</si>
  <si>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</si>
  <si>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</si>
  <si>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</si>
  <si>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</si>
  <si>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</si>
  <si>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</si>
  <si>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</si>
  <si>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</si>
  <si>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</si>
  <si>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</si>
  <si>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</si>
  <si>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</si>
  <si>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</si>
  <si>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</si>
  <si>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</si>
  <si>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</si>
  <si>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</si>
  <si>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</si>
  <si>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</si>
  <si>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</si>
  <si>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</si>
  <si>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</si>
  <si>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</si>
  <si>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</si>
  <si>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</si>
  <si>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</si>
  <si>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</si>
  <si>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</si>
  <si>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</si>
  <si>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</si>
  <si>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</si>
  <si>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</si>
  <si>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</si>
  <si>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</si>
  <si>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</si>
  <si>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</si>
  <si>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</si>
  <si>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</si>
  <si>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</si>
  <si>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</si>
  <si>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</si>
  <si>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</si>
  <si>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</si>
  <si>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</si>
  <si>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</si>
  <si>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</si>
  <si>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</si>
  <si>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</si>
  <si>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</si>
  <si>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</si>
  <si>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</si>
  <si>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</si>
  <si>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</si>
  <si>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</si>
  <si>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</si>
  <si>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</si>
  <si>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</si>
  <si>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</si>
  <si>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</si>
  <si>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</si>
  <si>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</si>
  <si>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</si>
  <si>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</si>
  <si>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</si>
  <si>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</si>
  <si>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</si>
  <si>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</si>
  <si>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</si>
  <si>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</si>
  <si>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</si>
  <si>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</si>
  <si>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</si>
  <si>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</si>
  <si>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</si>
  <si>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</si>
  <si>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</si>
  <si>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</si>
  <si>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</si>
  <si>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</si>
  <si>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</si>
  <si>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</si>
  <si>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</si>
  <si>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</si>
  <si>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</si>
  <si>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</si>
  <si>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</si>
  <si>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</si>
  <si>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</si>
  <si>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</si>
  <si>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</si>
  <si>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</si>
  <si>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</si>
  <si>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</si>
  <si>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</si>
  <si>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</si>
  <si>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</si>
  <si>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</si>
  <si>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</si>
  <si>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</si>
  <si>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</si>
  <si>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</si>
  <si>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</si>
  <si>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</si>
  <si>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</si>
  <si>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</si>
  <si>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</si>
  <si>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</si>
  <si>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</si>
  <si>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</si>
  <si>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</si>
  <si>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</si>
  <si>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</si>
  <si>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</si>
  <si>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</si>
  <si>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</si>
  <si>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</si>
  <si>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</si>
  <si>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</si>
  <si>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</si>
  <si>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</si>
  <si>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</si>
  <si>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</si>
  <si>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</si>
  <si>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</si>
  <si>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</si>
  <si>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</si>
  <si>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</si>
  <si>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</si>
  <si>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</si>
  <si>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</si>
  <si>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</si>
  <si>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</si>
  <si>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</si>
  <si>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</si>
  <si>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</si>
  <si>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</si>
  <si>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</si>
  <si>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</si>
  <si>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</si>
  <si>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</si>
  <si>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</si>
  <si>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</si>
  <si>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</si>
  <si>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</si>
  <si>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</si>
  <si>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</si>
  <si>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</si>
  <si>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</si>
  <si>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</si>
  <si>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</si>
  <si>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</si>
  <si>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</si>
  <si>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</si>
  <si>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</si>
  <si>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</si>
  <si>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</si>
  <si>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</si>
  <si>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</si>
  <si>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</si>
  <si>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</si>
  <si>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</si>
  <si>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</si>
  <si>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</si>
  <si>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</si>
  <si>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</si>
  <si>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</si>
  <si>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</si>
  <si>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</si>
  <si>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</si>
  <si>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</si>
  <si>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</si>
  <si>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</si>
  <si>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</si>
  <si>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</si>
  <si>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</si>
  <si>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</si>
  <si>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</si>
  <si>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</si>
  <si>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</si>
  <si>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</si>
  <si>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</si>
  <si>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</si>
  <si>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</si>
  <si>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</si>
  <si>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</si>
  <si>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</si>
  <si>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</si>
  <si>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</si>
  <si>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</si>
  <si>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</si>
  <si>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</si>
  <si>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</si>
  <si>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</si>
  <si>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</si>
  <si>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</si>
  <si>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</si>
  <si>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</si>
  <si>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</si>
  <si>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</si>
  <si>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</si>
  <si>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</si>
  <si>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</si>
  <si>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</si>
  <si>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</si>
  <si>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</si>
  <si>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</si>
  <si>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</si>
  <si>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</si>
  <si>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</si>
  <si>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</si>
  <si>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</si>
  <si>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</si>
  <si>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</si>
  <si>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</si>
  <si>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</si>
  <si>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</si>
  <si>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</si>
  <si>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</si>
  <si>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</si>
  <si>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</si>
  <si>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</si>
  <si>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</si>
  <si>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</si>
  <si>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</si>
  <si>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</si>
  <si>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</si>
  <si>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</si>
  <si>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</si>
  <si>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</si>
  <si>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</si>
  <si>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</si>
  <si>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</si>
  <si>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</si>
  <si>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</si>
  <si>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</si>
  <si>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</si>
  <si>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</si>
  <si>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</si>
  <si>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</si>
  <si>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</si>
  <si>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</si>
  <si>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</si>
  <si>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</si>
  <si>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</si>
  <si>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</si>
  <si>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</si>
  <si>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</si>
  <si>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</si>
  <si>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</si>
  <si>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</si>
  <si>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</si>
  <si>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</si>
  <si>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</si>
  <si>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</si>
  <si>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</si>
  <si>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</si>
  <si>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</si>
  <si>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</si>
  <si>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</si>
  <si>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</si>
  <si>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</si>
  <si>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</si>
  <si>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</si>
  <si>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</si>
  <si>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</si>
  <si>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</si>
  <si>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</si>
  <si>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</si>
  <si>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</si>
  <si>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</si>
  <si>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</si>
  <si>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</si>
  <si>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</si>
  <si>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</si>
  <si>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</si>
  <si>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</si>
  <si>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</si>
  <si>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</si>
  <si>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</si>
  <si>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</si>
  <si>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</si>
  <si>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</si>
  <si>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</si>
  <si>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</si>
  <si>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</si>
  <si>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</si>
  <si>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</si>
  <si>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</si>
  <si>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</si>
  <si>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</si>
  <si>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</si>
  <si>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</si>
  <si>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</si>
  <si>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</si>
  <si>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</si>
  <si>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</si>
  <si>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</si>
  <si>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</si>
  <si>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</si>
  <si>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</si>
  <si>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</si>
  <si>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</si>
  <si>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</si>
  <si>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</si>
  <si>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</si>
  <si>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</si>
  <si>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</si>
  <si>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</si>
  <si>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</si>
  <si>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</si>
  <si>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</si>
  <si>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</si>
  <si>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</si>
  <si>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</si>
  <si>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</si>
  <si>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</si>
  <si>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</si>
  <si>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</si>
  <si>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</si>
  <si>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</si>
  <si>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</si>
  <si>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</si>
  <si>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</si>
  <si>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</si>
  <si>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</si>
  <si>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</si>
  <si>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</si>
  <si>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</si>
  <si>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</si>
  <si>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</si>
  <si>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</si>
  <si>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</si>
  <si>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</si>
  <si>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</si>
  <si>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</si>
  <si>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</si>
  <si>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</si>
  <si>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</si>
  <si>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</si>
  <si>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</si>
  <si>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</si>
  <si>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</si>
  <si>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</si>
  <si>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</si>
  <si>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</si>
  <si>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</si>
  <si>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</si>
  <si>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</si>
  <si>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</si>
  <si>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</si>
  <si>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</si>
  <si>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</si>
  <si>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</si>
  <si>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</si>
  <si>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</si>
  <si>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</si>
  <si>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</si>
  <si>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</si>
  <si>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</si>
  <si>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</si>
  <si>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</si>
  <si>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</si>
  <si>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</si>
  <si>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</si>
  <si>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</si>
  <si>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</si>
  <si>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</si>
  <si>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</si>
  <si>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</si>
  <si>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</si>
  <si>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</si>
  <si>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</si>
  <si>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</si>
  <si>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</si>
  <si>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</si>
  <si>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</si>
  <si>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</si>
  <si>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</si>
  <si>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</si>
  <si>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</si>
  <si>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</si>
  <si>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</si>
  <si>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</si>
  <si>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</si>
  <si>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</si>
  <si>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</si>
  <si>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</si>
  <si>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</si>
  <si>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</si>
  <si>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</si>
  <si>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</si>
  <si>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</si>
  <si>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</si>
  <si>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</si>
  <si>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</si>
  <si>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</si>
  <si>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</si>
  <si>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</si>
  <si>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</si>
  <si>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</si>
  <si>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</si>
  <si>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</si>
  <si>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</si>
  <si>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</si>
  <si>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</si>
  <si>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</si>
  <si>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</si>
  <si>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</si>
  <si>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</si>
  <si>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</si>
  <si>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</si>
  <si>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</si>
  <si>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EPN ELECTROPRINT GmbH</t>
  </si>
  <si>
    <t>M. Kahl</t>
  </si>
  <si>
    <t>markus.kahl@epn.de</t>
  </si>
  <si>
    <t>0049364815932</t>
  </si>
  <si>
    <t>Ralf Müller</t>
  </si>
  <si>
    <t>ralf.mueller@epn.de</t>
  </si>
  <si>
    <t>0049364815950</t>
  </si>
  <si>
    <t>100%</t>
  </si>
  <si>
    <t>www.epn.de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</si>
</sst>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68" xfId="0"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kus.kahl@epn.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pn.de/" TargetMode="External"/><Relationship Id="rId4" Type="http://schemas.openxmlformats.org/officeDocument/2006/relationships/hyperlink" Target="mailto:ralf.mueller@epn.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837</v>
      </c>
      <c r="C2" s="3"/>
      <c r="D2" s="175"/>
      <c r="E2" s="3"/>
      <c r="F2" s="3"/>
      <c r="G2" s="25"/>
    </row>
    <row r="3" spans="1:7">
      <c r="A3" s="297"/>
      <c r="B3" s="3" t="s">
        <v>829</v>
      </c>
      <c r="C3" s="5"/>
      <c r="D3" s="176"/>
      <c r="E3" s="3"/>
      <c r="F3" s="5"/>
      <c r="G3" s="25"/>
    </row>
    <row r="4" spans="1:7" ht="15.75">
      <c r="A4" s="297"/>
      <c r="B4" s="30" t="s">
        <v>839</v>
      </c>
      <c r="C4" s="6"/>
      <c r="D4" s="177"/>
      <c r="E4" s="3"/>
      <c r="F4" s="6"/>
      <c r="G4" s="25"/>
    </row>
    <row r="5" spans="1:7">
      <c r="A5" s="297"/>
      <c r="B5" s="29" t="s">
        <v>1030</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840</v>
      </c>
      <c r="C9" s="300"/>
      <c r="D9" s="300"/>
      <c r="E9" s="300"/>
      <c r="F9" s="300"/>
      <c r="G9" s="25"/>
    </row>
    <row r="10" spans="1:7" ht="27" customHeight="1">
      <c r="A10" s="297"/>
      <c r="B10" s="301" t="s">
        <v>434</v>
      </c>
      <c r="C10" s="301"/>
      <c r="D10" s="301"/>
      <c r="E10" s="301"/>
      <c r="F10" s="301"/>
      <c r="G10" s="25"/>
    </row>
    <row r="11" spans="1:7" ht="27" customHeight="1">
      <c r="A11" s="297"/>
      <c r="B11" s="302"/>
      <c r="C11" s="302"/>
      <c r="D11" s="302"/>
      <c r="E11" s="302"/>
      <c r="F11" s="302"/>
      <c r="G11" s="25"/>
    </row>
    <row r="12" spans="1:7">
      <c r="A12" s="297"/>
      <c r="B12" s="31" t="s">
        <v>838</v>
      </c>
      <c r="C12" s="32" t="s">
        <v>841</v>
      </c>
      <c r="D12" s="179" t="s">
        <v>842</v>
      </c>
      <c r="E12" s="32" t="s">
        <v>608</v>
      </c>
      <c r="F12" s="32" t="s">
        <v>609</v>
      </c>
      <c r="G12" s="25"/>
    </row>
    <row r="13" spans="1:7" ht="33.75">
      <c r="A13" s="297"/>
      <c r="B13" s="2">
        <v>1</v>
      </c>
      <c r="C13" s="27" t="s">
        <v>1078</v>
      </c>
      <c r="D13" s="28" t="s">
        <v>866</v>
      </c>
      <c r="E13" s="163" t="s">
        <v>843</v>
      </c>
      <c r="F13" s="163"/>
      <c r="G13" s="25"/>
    </row>
    <row r="14" spans="1:7" ht="33.75">
      <c r="A14" s="297"/>
      <c r="B14" s="2">
        <v>2</v>
      </c>
      <c r="C14" s="27" t="s">
        <v>1078</v>
      </c>
      <c r="D14" s="28" t="s">
        <v>1015</v>
      </c>
      <c r="E14" s="163" t="s">
        <v>526</v>
      </c>
      <c r="F14" s="163" t="s">
        <v>527</v>
      </c>
      <c r="G14" s="25"/>
    </row>
    <row r="15" spans="1:7" ht="89.1" customHeight="1">
      <c r="A15" s="297"/>
      <c r="B15" s="303">
        <v>2.0099999999999998</v>
      </c>
      <c r="C15" s="294" t="s">
        <v>1078</v>
      </c>
      <c r="D15" s="306" t="s">
        <v>2229</v>
      </c>
      <c r="E15" s="164" t="s">
        <v>610</v>
      </c>
      <c r="F15" s="164" t="s">
        <v>613</v>
      </c>
      <c r="G15" s="25"/>
    </row>
    <row r="16" spans="1:7" ht="99" customHeight="1">
      <c r="A16" s="297"/>
      <c r="B16" s="304"/>
      <c r="C16" s="295"/>
      <c r="D16" s="307"/>
      <c r="E16" s="165"/>
      <c r="F16" s="165" t="s">
        <v>611</v>
      </c>
      <c r="G16" s="25"/>
    </row>
    <row r="17" spans="1:7" ht="63" customHeight="1">
      <c r="A17" s="297"/>
      <c r="B17" s="305"/>
      <c r="C17" s="296"/>
      <c r="D17" s="308"/>
      <c r="E17" s="27"/>
      <c r="F17" s="27" t="s">
        <v>612</v>
      </c>
      <c r="G17" s="25"/>
    </row>
    <row r="18" spans="1:7" ht="117" customHeight="1">
      <c r="A18" s="297"/>
      <c r="B18" s="303">
        <v>2.02</v>
      </c>
      <c r="C18" s="294" t="s">
        <v>1078</v>
      </c>
      <c r="D18" s="306" t="s">
        <v>2230</v>
      </c>
      <c r="E18" s="164" t="s">
        <v>435</v>
      </c>
      <c r="F18" s="164" t="s">
        <v>521</v>
      </c>
      <c r="G18" s="25"/>
    </row>
    <row r="19" spans="1:7" ht="71.099999999999994" customHeight="1">
      <c r="A19" s="297"/>
      <c r="B19" s="304"/>
      <c r="C19" s="295"/>
      <c r="D19" s="307"/>
      <c r="E19" s="165" t="s">
        <v>525</v>
      </c>
      <c r="F19" s="165" t="s">
        <v>436</v>
      </c>
      <c r="G19" s="25"/>
    </row>
    <row r="20" spans="1:7" ht="90.75" customHeight="1">
      <c r="A20" s="297"/>
      <c r="B20" s="304"/>
      <c r="C20" s="295"/>
      <c r="D20" s="307"/>
      <c r="E20" s="165"/>
      <c r="F20" s="165" t="s">
        <v>615</v>
      </c>
      <c r="G20" s="25"/>
    </row>
    <row r="21" spans="1:7" ht="74.25" customHeight="1">
      <c r="A21" s="297"/>
      <c r="B21" s="305"/>
      <c r="C21" s="296"/>
      <c r="D21" s="308"/>
      <c r="E21" s="27"/>
      <c r="F21" s="27" t="s">
        <v>614</v>
      </c>
      <c r="G21" s="25"/>
    </row>
    <row r="22" spans="1:7" ht="90" customHeight="1">
      <c r="A22" s="297"/>
      <c r="B22" s="312">
        <v>2.0299999999999998</v>
      </c>
      <c r="C22" s="312" t="s">
        <v>812</v>
      </c>
      <c r="D22" s="315" t="s">
        <v>2231</v>
      </c>
      <c r="E22" s="294" t="s">
        <v>433</v>
      </c>
      <c r="F22" s="164" t="s">
        <v>456</v>
      </c>
      <c r="G22" s="25"/>
    </row>
    <row r="23" spans="1:7" ht="109.5" customHeight="1">
      <c r="A23" s="297"/>
      <c r="B23" s="313"/>
      <c r="C23" s="313"/>
      <c r="D23" s="316"/>
      <c r="E23" s="295"/>
      <c r="F23" s="165" t="s">
        <v>813</v>
      </c>
      <c r="G23" s="25"/>
    </row>
    <row r="24" spans="1:7" ht="74.25" customHeight="1">
      <c r="A24" s="297"/>
      <c r="B24" s="314"/>
      <c r="C24" s="314"/>
      <c r="D24" s="317"/>
      <c r="E24" s="296"/>
      <c r="F24" s="27" t="s">
        <v>432</v>
      </c>
      <c r="G24" s="25"/>
    </row>
    <row r="25" spans="1:7" ht="72" customHeight="1">
      <c r="A25" s="297"/>
      <c r="B25" s="2" t="s">
        <v>454</v>
      </c>
      <c r="C25" s="27" t="s">
        <v>455</v>
      </c>
      <c r="D25" s="28" t="s">
        <v>2232</v>
      </c>
      <c r="E25" s="27" t="s">
        <v>2227</v>
      </c>
      <c r="F25" s="27" t="s">
        <v>457</v>
      </c>
      <c r="G25" s="25"/>
    </row>
    <row r="26" spans="1:7" ht="98.1" customHeight="1">
      <c r="A26" s="297"/>
      <c r="B26" s="309">
        <v>3</v>
      </c>
      <c r="C26" s="303" t="s">
        <v>67</v>
      </c>
      <c r="D26" s="306" t="s">
        <v>2233</v>
      </c>
      <c r="E26" s="294" t="s">
        <v>0</v>
      </c>
      <c r="F26" s="164" t="s">
        <v>61</v>
      </c>
      <c r="G26" s="25"/>
    </row>
    <row r="27" spans="1:7" ht="90" customHeight="1">
      <c r="A27" s="297"/>
      <c r="B27" s="310"/>
      <c r="C27" s="304"/>
      <c r="D27" s="307"/>
      <c r="E27" s="295"/>
      <c r="F27" s="165" t="s">
        <v>56</v>
      </c>
      <c r="G27" s="25"/>
    </row>
    <row r="28" spans="1:7" ht="19.350000000000001" customHeight="1">
      <c r="A28" s="297"/>
      <c r="B28" s="310"/>
      <c r="C28" s="304"/>
      <c r="D28" s="307"/>
      <c r="E28" s="295"/>
      <c r="F28" s="165" t="s">
        <v>57</v>
      </c>
      <c r="G28" s="25"/>
    </row>
    <row r="29" spans="1:7" ht="74.45" customHeight="1">
      <c r="A29" s="297"/>
      <c r="B29" s="310"/>
      <c r="C29" s="304"/>
      <c r="D29" s="307"/>
      <c r="E29" s="295"/>
      <c r="F29" s="165" t="s">
        <v>58</v>
      </c>
      <c r="G29" s="25"/>
    </row>
    <row r="30" spans="1:7" ht="62.45" customHeight="1">
      <c r="A30" s="297"/>
      <c r="B30" s="310"/>
      <c r="C30" s="304"/>
      <c r="D30" s="307"/>
      <c r="E30" s="295"/>
      <c r="F30" s="165" t="s">
        <v>59</v>
      </c>
      <c r="G30" s="25"/>
    </row>
    <row r="31" spans="1:7" ht="81" customHeight="1">
      <c r="A31" s="297"/>
      <c r="B31" s="310"/>
      <c r="C31" s="304"/>
      <c r="D31" s="307"/>
      <c r="E31" s="295"/>
      <c r="F31" s="165" t="s">
        <v>60</v>
      </c>
      <c r="G31" s="25"/>
    </row>
    <row r="32" spans="1:7" ht="48.75" customHeight="1">
      <c r="A32" s="297"/>
      <c r="B32" s="310"/>
      <c r="C32" s="304"/>
      <c r="D32" s="307"/>
      <c r="E32" s="295"/>
      <c r="F32" s="165" t="s">
        <v>63</v>
      </c>
      <c r="G32" s="25"/>
    </row>
    <row r="33" spans="1:7" ht="98.45" customHeight="1">
      <c r="A33" s="297"/>
      <c r="B33" s="310"/>
      <c r="C33" s="304"/>
      <c r="D33" s="307"/>
      <c r="E33" s="295"/>
      <c r="F33" s="165" t="s">
        <v>62</v>
      </c>
      <c r="G33" s="25"/>
    </row>
    <row r="34" spans="1:7" ht="89.1" customHeight="1">
      <c r="A34" s="297"/>
      <c r="B34" s="310"/>
      <c r="C34" s="304"/>
      <c r="D34" s="307"/>
      <c r="E34" s="295"/>
      <c r="F34" s="165" t="s">
        <v>64</v>
      </c>
      <c r="G34" s="25"/>
    </row>
    <row r="35" spans="1:7" ht="29.1" customHeight="1">
      <c r="A35" s="297"/>
      <c r="B35" s="310"/>
      <c r="C35" s="304"/>
      <c r="D35" s="307"/>
      <c r="E35" s="295"/>
      <c r="F35" s="165" t="s">
        <v>65</v>
      </c>
      <c r="G35" s="25"/>
    </row>
    <row r="36" spans="1:7" ht="126.75">
      <c r="A36" s="297"/>
      <c r="B36" s="311"/>
      <c r="C36" s="305"/>
      <c r="D36" s="308"/>
      <c r="E36" s="296"/>
      <c r="F36" s="166" t="s">
        <v>66</v>
      </c>
      <c r="G36" s="25"/>
    </row>
    <row r="37" spans="1:7" ht="112.5">
      <c r="A37" s="297"/>
      <c r="B37" s="141">
        <v>3.01</v>
      </c>
      <c r="C37" s="142" t="s">
        <v>67</v>
      </c>
      <c r="D37" s="28" t="s">
        <v>2234</v>
      </c>
      <c r="E37" s="167" t="s">
        <v>1316</v>
      </c>
      <c r="F37" s="168" t="s">
        <v>1420</v>
      </c>
      <c r="G37" s="25"/>
    </row>
    <row r="38" spans="1:7" ht="101.25">
      <c r="A38" s="297"/>
      <c r="B38" s="141">
        <v>3.02</v>
      </c>
      <c r="C38" s="142" t="s">
        <v>1349</v>
      </c>
      <c r="D38" s="28" t="s">
        <v>2235</v>
      </c>
      <c r="E38" s="167" t="s">
        <v>1364</v>
      </c>
      <c r="F38" s="168" t="s">
        <v>1421</v>
      </c>
      <c r="G38" s="25"/>
    </row>
    <row r="39" spans="1:7" ht="101.25">
      <c r="A39" s="297"/>
      <c r="B39" s="150">
        <v>4</v>
      </c>
      <c r="C39" s="149" t="s">
        <v>1517</v>
      </c>
      <c r="D39" s="28" t="s">
        <v>2236</v>
      </c>
      <c r="E39" s="27" t="s">
        <v>2182</v>
      </c>
      <c r="F39" s="27" t="s">
        <v>1518</v>
      </c>
      <c r="G39" s="25"/>
    </row>
    <row r="40" spans="1:7" ht="56.25">
      <c r="A40" s="297"/>
      <c r="B40" s="141">
        <v>4.01</v>
      </c>
      <c r="C40" s="149" t="s">
        <v>1517</v>
      </c>
      <c r="D40" s="28" t="s">
        <v>2238</v>
      </c>
      <c r="E40" s="27" t="s">
        <v>2194</v>
      </c>
      <c r="F40" s="27" t="s">
        <v>2198</v>
      </c>
      <c r="G40" s="25"/>
    </row>
    <row r="41" spans="1:7" ht="56.25">
      <c r="A41" s="297"/>
      <c r="B41" s="141" t="s">
        <v>2225</v>
      </c>
      <c r="C41" s="149" t="s">
        <v>1517</v>
      </c>
      <c r="D41" s="28" t="s">
        <v>2237</v>
      </c>
      <c r="E41" s="27" t="s">
        <v>2228</v>
      </c>
      <c r="F41" s="27" t="s">
        <v>2226</v>
      </c>
      <c r="G41" s="25"/>
    </row>
    <row r="42" spans="1:7" ht="56.25">
      <c r="A42" s="297"/>
      <c r="B42" s="141" t="s">
        <v>2259</v>
      </c>
      <c r="C42" s="149" t="s">
        <v>1517</v>
      </c>
      <c r="D42" s="28" t="s">
        <v>2264</v>
      </c>
      <c r="E42" s="27" t="s">
        <v>2227</v>
      </c>
      <c r="F42" s="27" t="s">
        <v>2260</v>
      </c>
      <c r="G42" s="25"/>
    </row>
    <row r="43" spans="1:7" ht="123.75">
      <c r="A43" s="297"/>
      <c r="B43" s="160">
        <v>4.0999999999999996</v>
      </c>
      <c r="C43" s="149" t="s">
        <v>2263</v>
      </c>
      <c r="D43" s="161">
        <v>42867</v>
      </c>
      <c r="E43" s="169" t="s">
        <v>2266</v>
      </c>
      <c r="F43" s="27" t="s">
        <v>2265</v>
      </c>
      <c r="G43" s="25"/>
    </row>
    <row r="44" spans="1:7" ht="78.75">
      <c r="A44" s="297"/>
      <c r="B44" s="160">
        <v>4.2</v>
      </c>
      <c r="C44" s="149" t="s">
        <v>2263</v>
      </c>
      <c r="D44" s="161">
        <v>42704</v>
      </c>
      <c r="E44" s="169" t="s">
        <v>2462</v>
      </c>
      <c r="F44" s="27" t="s">
        <v>2437</v>
      </c>
      <c r="G44" s="25"/>
    </row>
    <row r="45" spans="1:7" ht="157.5">
      <c r="A45" s="297"/>
      <c r="B45" s="202">
        <v>5</v>
      </c>
      <c r="C45" s="149" t="s">
        <v>2263</v>
      </c>
      <c r="D45" s="161">
        <v>42867</v>
      </c>
      <c r="E45" s="169" t="s">
        <v>12683</v>
      </c>
      <c r="F45" s="27" t="s">
        <v>12405</v>
      </c>
      <c r="G45" s="25"/>
    </row>
    <row r="46" spans="1:7" ht="45">
      <c r="A46" s="297"/>
      <c r="B46" s="160">
        <v>5.01</v>
      </c>
      <c r="C46" s="149" t="s">
        <v>2263</v>
      </c>
      <c r="D46" s="161">
        <v>42907</v>
      </c>
      <c r="E46" s="169" t="s">
        <v>15484</v>
      </c>
      <c r="F46" s="27" t="s">
        <v>12405</v>
      </c>
      <c r="G46" s="25"/>
    </row>
    <row r="47" spans="1:7" ht="67.5">
      <c r="A47" s="297"/>
      <c r="B47" s="160">
        <v>5.0999999999999996</v>
      </c>
      <c r="C47" s="149" t="s">
        <v>2263</v>
      </c>
      <c r="D47" s="161">
        <v>43070</v>
      </c>
      <c r="E47" s="169" t="s">
        <v>12893</v>
      </c>
      <c r="F47" s="27" t="s">
        <v>12894</v>
      </c>
      <c r="G47" s="25"/>
    </row>
    <row r="48" spans="1:7" ht="56.25">
      <c r="A48" s="297"/>
      <c r="B48" s="160">
        <v>5.1100000000000003</v>
      </c>
      <c r="C48" s="149" t="s">
        <v>13129</v>
      </c>
      <c r="D48" s="161">
        <v>43217</v>
      </c>
      <c r="E48" s="169" t="s">
        <v>13255</v>
      </c>
      <c r="F48" s="27" t="s">
        <v>13163</v>
      </c>
      <c r="G48" s="25"/>
    </row>
    <row r="49" spans="1:7" ht="56.25">
      <c r="A49" s="297"/>
      <c r="B49" s="160">
        <v>5.12</v>
      </c>
      <c r="C49" s="149" t="s">
        <v>13129</v>
      </c>
      <c r="D49" s="161">
        <v>43581</v>
      </c>
      <c r="E49" s="169" t="s">
        <v>13255</v>
      </c>
      <c r="F49" s="27" t="s">
        <v>13807</v>
      </c>
      <c r="G49" s="25"/>
    </row>
    <row r="50" spans="1:7" ht="78.75">
      <c r="A50" s="297"/>
      <c r="B50" s="202">
        <v>6</v>
      </c>
      <c r="C50" s="149" t="s">
        <v>13129</v>
      </c>
      <c r="D50" s="161">
        <v>43964</v>
      </c>
      <c r="E50" s="169" t="s">
        <v>14020</v>
      </c>
      <c r="F50" s="27" t="s">
        <v>13810</v>
      </c>
      <c r="G50" s="25"/>
    </row>
    <row r="51" spans="1:7" ht="45">
      <c r="A51" s="297"/>
      <c r="B51" s="160">
        <v>6.01</v>
      </c>
      <c r="C51" s="149" t="s">
        <v>13129</v>
      </c>
      <c r="D51" s="161">
        <v>43970</v>
      </c>
      <c r="E51" s="169" t="s">
        <v>15485</v>
      </c>
      <c r="F51" s="169" t="s">
        <v>13810</v>
      </c>
      <c r="G51" s="25"/>
    </row>
    <row r="52" spans="1:7" ht="45">
      <c r="A52" s="297"/>
      <c r="B52" s="160">
        <v>6.1</v>
      </c>
      <c r="C52" s="149" t="s">
        <v>13129</v>
      </c>
      <c r="D52" s="161">
        <v>44314</v>
      </c>
      <c r="E52" s="169" t="s">
        <v>15477</v>
      </c>
      <c r="F52" s="169" t="s">
        <v>15015</v>
      </c>
      <c r="G52" s="25"/>
    </row>
    <row r="53" spans="1:7" ht="45">
      <c r="A53" s="297"/>
      <c r="B53" s="160">
        <v>6.2</v>
      </c>
      <c r="C53" s="149" t="s">
        <v>13129</v>
      </c>
      <c r="D53" s="161">
        <v>44678</v>
      </c>
      <c r="E53" s="169" t="s">
        <v>15477</v>
      </c>
      <c r="F53" s="169" t="s">
        <v>15476</v>
      </c>
      <c r="G53" s="25"/>
    </row>
    <row r="54" spans="1:7" ht="45">
      <c r="A54" s="297"/>
      <c r="B54" s="160">
        <v>6.21</v>
      </c>
      <c r="C54" s="149" t="s">
        <v>13129</v>
      </c>
      <c r="D54" s="161">
        <v>44687</v>
      </c>
      <c r="E54" s="169" t="s">
        <v>15486</v>
      </c>
      <c r="F54" s="169" t="s">
        <v>15476</v>
      </c>
      <c r="G54" s="25"/>
    </row>
    <row r="55" spans="1:7" ht="45">
      <c r="A55" s="297"/>
      <c r="B55" s="160">
        <v>6.22</v>
      </c>
      <c r="C55" s="149" t="s">
        <v>13129</v>
      </c>
      <c r="D55" s="275">
        <v>44692</v>
      </c>
      <c r="E55" s="169" t="s">
        <v>15485</v>
      </c>
      <c r="F55" s="169" t="s">
        <v>15476</v>
      </c>
      <c r="G55" s="25"/>
    </row>
    <row r="56" spans="1:7" ht="56.25">
      <c r="A56" s="297"/>
      <c r="B56" s="202">
        <v>6.3</v>
      </c>
      <c r="C56" s="149" t="s">
        <v>13129</v>
      </c>
      <c r="D56" s="275">
        <v>45051</v>
      </c>
      <c r="E56" s="169" t="s">
        <v>15753</v>
      </c>
      <c r="F56" s="169" t="s">
        <v>15534</v>
      </c>
      <c r="G56" s="25"/>
    </row>
    <row r="57" spans="1:7" ht="45">
      <c r="A57" s="297"/>
      <c r="B57" s="160">
        <v>6.31</v>
      </c>
      <c r="C57" s="149" t="s">
        <v>13129</v>
      </c>
      <c r="D57" s="275">
        <v>45072</v>
      </c>
      <c r="E57" s="169" t="s">
        <v>15755</v>
      </c>
      <c r="F57" s="169" t="s">
        <v>15534</v>
      </c>
      <c r="G57" s="25"/>
    </row>
    <row r="58" spans="1:7" ht="44.45" customHeight="1">
      <c r="A58" s="297"/>
      <c r="B58" s="202">
        <v>6.4</v>
      </c>
      <c r="C58" s="149" t="s">
        <v>13129</v>
      </c>
      <c r="D58" s="275">
        <v>45408</v>
      </c>
      <c r="E58" s="169" t="s">
        <v>15757</v>
      </c>
      <c r="F58" s="169" t="s">
        <v>15756</v>
      </c>
      <c r="G58" s="25"/>
    </row>
    <row r="59" spans="1:7" ht="13.5" thickBot="1">
      <c r="A59" s="298"/>
      <c r="B59" s="299" t="str">
        <f ca="1">OFFSET(L!$C$1,MATCH("General"&amp;"Cpy",L!$A:$A,0)-1,SL,,)</f>
        <v>© 2023 Responsible Minerals Initiative. All rights reserved.</v>
      </c>
      <c r="C59" s="299"/>
      <c r="D59" s="299"/>
      <c r="E59" s="299"/>
      <c r="F59" s="299"/>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41118F-2E4B-4C93-A9FC-DE10371A1A6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15302F1-D683-4A47-8AA4-BBBAACF211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Posten</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Zinn, Tantal, Wolfram, Gold</v>
      </c>
      <c r="D3" s="322"/>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2"/>
      <c r="E9" s="100" t="s">
        <v>1301</v>
      </c>
    </row>
    <row r="10" spans="1:5" ht="45">
      <c r="A10" s="74"/>
      <c r="B10" s="63" t="str">
        <f ca="1">OFFSET(L!$C$1,MATCH("Definitions"&amp;ADDRESS(ROW(),COLUMN(),4),L!$A:$A,0)-1,SL,,)</f>
        <v>DRK</v>
      </c>
      <c r="C10" s="63" t="str">
        <f ca="1">OFFSET(L!$C$1,MATCH("Definitions"&amp;ADDRESS(ROW(),COLUMN(),4),L!$A:$A,0)-1,SL,,)</f>
        <v>Demokratische Republik Kongo</v>
      </c>
      <c r="D10" s="322"/>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2"/>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2"/>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2"/>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2"/>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58"/>
      <c r="G3" s="358"/>
      <c r="H3" s="358"/>
      <c r="I3" s="152"/>
      <c r="J3" s="138" t="s">
        <v>15760</v>
      </c>
      <c r="K3" s="36"/>
      <c r="L3" s="100"/>
      <c r="P3" s="45">
        <f>MATCH($D$3,LN,0)</f>
        <v>7</v>
      </c>
    </row>
    <row r="4" spans="1:34" ht="15.75">
      <c r="A4" s="34"/>
      <c r="B4" s="354" t="str">
        <f ca="1">OFFSET(L!$C$1,MATCH("Declaration"&amp;ADDRESS(ROW(),COLUMN(),4),L!$A:$A,0)-1,SL,,)</f>
        <v>Der Zweck dieses Dokuments ist die Erfassung von Beschaffungsinformationen für Zinn, Tantal, Wolfram und Gold, welche in Produkten genutzt werden.</v>
      </c>
      <c r="C4" s="354"/>
      <c r="D4" s="354"/>
      <c r="E4" s="354"/>
      <c r="F4" s="354"/>
      <c r="G4" s="354"/>
      <c r="H4" s="354"/>
      <c r="I4" s="359" t="str">
        <f ca="1">OFFSET(L!$C$1,MATCH("Declaration"&amp;ADDRESS(ROW(),COLUMN(),4),L!$A:$A,0)-1,SL,,)</f>
        <v>Link zu den Bedingungen</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Pflichtfelder sind mit einem Sternchen (*) gekennzeichnet.  Im Tab „Instruktionen“ finden Sie eine Anleitung zur Beantwortung aller Fragen.</v>
      </c>
      <c r="C6" s="354"/>
      <c r="D6" s="354"/>
      <c r="E6" s="354"/>
      <c r="F6" s="354"/>
      <c r="G6" s="354"/>
      <c r="H6" s="354"/>
      <c r="I6" s="354"/>
      <c r="J6" s="35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Firmenangaben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8" t="s">
        <v>15855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Beschreibung des Geltungsbereichs</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1" t="s">
        <v>15856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6" t="s">
        <v>15857</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1" t="s">
        <v>15858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4" t="s">
        <v>15859</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6" t="s">
        <v>15860</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4" t="s">
        <v>15861</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9">
        <v>45418</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Beantworten Sie die Fragen 1 - 8 entsprechend dem oben angegebenen Geltungsbereich</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8" t="str">
        <f ca="1">OFFSET(L!$C$1,MATCH("Declaration"&amp;ADDRESS(ROW(),COLUMN(),4),L!$A:$A,0)-1,SL,,)</f>
        <v>Antwort</v>
      </c>
      <c r="E25" s="338"/>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7" t="s">
        <v>485</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7" t="s">
        <v>484</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7" t="s">
        <v>485</v>
      </c>
      <c r="E29" s="328"/>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2" t="str">
        <f ca="1">D25</f>
        <v>Antwort</v>
      </c>
      <c r="E31" s="332"/>
      <c r="F31" s="18"/>
      <c r="G31" s="44" t="str">
        <f ca="1">G25</f>
        <v>Kommentare</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7" t="s">
        <v>484</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2" t="str">
        <f ca="1">D25</f>
        <v>Antwort</v>
      </c>
      <c r="E37" s="332"/>
      <c r="F37" s="18"/>
      <c r="G37" s="44" t="str">
        <f ca="1">G25</f>
        <v>Kommentare</v>
      </c>
      <c r="H37" s="375"/>
      <c r="I37" s="375"/>
      <c r="J37" s="375"/>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7" t="s">
        <v>485</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485</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2" t="str">
        <f ca="1">D25</f>
        <v>Antwort</v>
      </c>
      <c r="E43" s="332"/>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7" t="s">
        <v>485</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485</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2" t="str">
        <f ca="1">D25</f>
        <v>Antwort</v>
      </c>
      <c r="E49" s="332"/>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7" t="s">
        <v>485</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2" t="str">
        <f ca="1">D25</f>
        <v>Antwort</v>
      </c>
      <c r="E55" s="332"/>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9" t="s">
        <v>15862</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15862</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2" t="str">
        <f ca="1">D25</f>
        <v>Antwort</v>
      </c>
      <c r="E61" s="332"/>
      <c r="F61" s="18"/>
      <c r="G61" s="44" t="str">
        <f ca="1">G25</f>
        <v>Kommentare</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7" t="s">
        <v>484</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2" t="str">
        <f ca="1">D25</f>
        <v>Antwort</v>
      </c>
      <c r="E67" s="332"/>
      <c r="F67" s="18"/>
      <c r="G67" s="44" t="str">
        <f ca="1">G25</f>
        <v>Kommentare</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7" t="s">
        <v>484</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Beantworten Sie folgende Fragen auf Firmenebene</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8" t="str">
        <f ca="1">D25</f>
        <v>Antwort</v>
      </c>
      <c r="E74" s="338"/>
      <c r="F74" s="53"/>
      <c r="G74" s="338" t="str">
        <f ca="1">G25</f>
        <v>Kommentare</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7" t="s">
        <v>484</v>
      </c>
      <c r="E75" s="328"/>
      <c r="F75" s="57"/>
      <c r="G75" s="335"/>
      <c r="H75" s="336"/>
      <c r="I75" s="336"/>
      <c r="J75" s="337"/>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7" t="s">
        <v>484</v>
      </c>
      <c r="E77" s="328"/>
      <c r="F77" s="57"/>
      <c r="G77" s="339" t="s">
        <v>15863</v>
      </c>
      <c r="H77" s="340"/>
      <c r="I77" s="340"/>
      <c r="J77" s="341"/>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7" t="s">
        <v>484</v>
      </c>
      <c r="E79" s="328"/>
      <c r="F79" s="57"/>
      <c r="G79" s="335"/>
      <c r="H79" s="336"/>
      <c r="I79" s="336"/>
      <c r="J79" s="337"/>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7" t="s">
        <v>484</v>
      </c>
      <c r="E81" s="328"/>
      <c r="F81" s="57"/>
      <c r="G81" s="335"/>
      <c r="H81" s="336"/>
      <c r="I81" s="336"/>
      <c r="J81" s="337"/>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7" t="s">
        <v>14954</v>
      </c>
      <c r="E83" s="328"/>
      <c r="F83" s="57"/>
      <c r="G83" s="335"/>
      <c r="H83" s="336"/>
      <c r="I83" s="336"/>
      <c r="J83" s="33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80" t="s">
        <v>484</v>
      </c>
      <c r="E85" s="381"/>
      <c r="F85" s="57"/>
      <c r="G85" s="335"/>
      <c r="H85" s="336"/>
      <c r="I85" s="336"/>
      <c r="J85" s="33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7" t="s">
        <v>484</v>
      </c>
      <c r="E87" s="328"/>
      <c r="F87" s="57"/>
      <c r="G87" s="335"/>
      <c r="H87" s="336"/>
      <c r="I87" s="336"/>
      <c r="J87" s="337"/>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7" t="s">
        <v>485</v>
      </c>
      <c r="E89" s="328"/>
      <c r="F89" s="57"/>
      <c r="G89" s="335"/>
      <c r="H89" s="336"/>
      <c r="I89" s="336"/>
      <c r="J89" s="33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C94511C-65A2-4C41-983E-3E6D6E58CAB8}"/>
    <hyperlink ref="D20" r:id="rId4" xr:uid="{42643F2F-E0E1-4E1B-9E68-95FAF659C767}"/>
    <hyperlink ref="G77" r:id="rId5" xr:uid="{37B6C5C3-3CCD-4045-997A-C8A5FA323D6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8" t="str">
        <f ca="1">OFFSET(L!$C$1,MATCH("Smelter List"&amp;ADDRESS(ROW(),COLUMN(),4),L!$A:$A,0)-1,SL,,)</f>
        <v>Link zur "RMAP Conformant Smelter"- Liste</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22"/>
      <c r="G3" s="391" t="str">
        <f ca="1">OFFSET(L!$C$1,MATCH("General"&amp;"Cpy",L!$A:$A,0)-1,SL,,)</f>
        <v>© 2023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c r="B5" s="182" t="s">
        <v>1119</v>
      </c>
      <c r="C5" s="186" t="s">
        <v>2500</v>
      </c>
      <c r="D5" s="230"/>
      <c r="E5" s="182" t="str">
        <f ca="1">IF(ISERROR($V5),"",OFFSET('Smelter Look-up'!$D$4,$V5-4,0)&amp;"")</f>
        <v>ITALY</v>
      </c>
      <c r="F5" s="182" t="s">
        <v>2501</v>
      </c>
      <c r="G5" s="293" t="s">
        <v>13217</v>
      </c>
      <c r="H5" s="183">
        <f ca="1">IF(ISERROR($V5),"",OFFSET('Smelter Look-up'!$G$4,$V5-4,0))</f>
        <v>0</v>
      </c>
      <c r="I5" s="184" t="str">
        <f ca="1">IF(ISERROR($V5),"",OFFSET('Smelter Look-up'!$H$4,$V5-4,0))</f>
        <v>Arezzo</v>
      </c>
      <c r="J5" s="184" t="str">
        <f ca="1">IF(ISERROR($V5),"",OFFSET('Smelter Look-up'!$I$4,$V5-4,0))</f>
        <v>Toscana</v>
      </c>
      <c r="K5" s="224"/>
      <c r="L5" s="224"/>
      <c r="M5" s="224"/>
      <c r="N5" s="224"/>
      <c r="O5" s="224"/>
      <c r="P5" s="185"/>
      <c r="Q5" s="225"/>
      <c r="R5" s="182" t="str">
        <f ca="1">IF(ISERROR($V5),"",OFFSET('Smelter Look-up'!$C$4,$V5-4,0)&amp;"")</f>
        <v>Safimet S.p.A</v>
      </c>
      <c r="S5" s="181" t="str">
        <f ca="1">IF(B5="","",IF(ISERROR(MATCH($E5,CL,0)),"Unknown",INDIRECT("'C'!$A$"&amp;MATCH($E5,CL,0)+1)))</f>
        <v>IT</v>
      </c>
      <c r="T5" s="181" t="str">
        <f ca="1">IF(B5="","",IF(ISERROR(MATCH($J5,SorP!$B$1:$B$6226,0)),"",INDIRECT("'SorP'!$A$"&amp;MATCH($S5&amp;$J5,SorP!C:C,0))))</f>
        <v>IT-52</v>
      </c>
      <c r="U5" s="201"/>
      <c r="V5" s="226">
        <f>IF(C5="",NA(),IF(OR(C5="Smelter not listed",C5="Smelter not yet identified"),MATCH($B5&amp;$D5,'Smelter Look-up'!$J:$J,0),MATCH($B5&amp;$C5,'Smelter Look-up'!$J:$J,0)))</f>
        <v>235</v>
      </c>
      <c r="X5" s="227">
        <f t="shared" ref="X5" ca="1" si="0">IF(AND(C5="Smelter not listed",OR(LEN(D5)=0,LEN(E5)=0)),1,0)</f>
        <v>0</v>
      </c>
      <c r="AB5" s="228" t="str">
        <f t="shared" ref="AB5" si="1">B5&amp;C5</f>
        <v>GoldSafimet S.p.A</v>
      </c>
    </row>
    <row r="6" spans="1:34" s="227" customFormat="1" ht="20.100000000000001" customHeight="1">
      <c r="A6" s="262"/>
      <c r="B6" s="182" t="s">
        <v>1120</v>
      </c>
      <c r="C6" s="186" t="s">
        <v>1024</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487</v>
      </c>
      <c r="X6" s="227">
        <f t="shared" ref="X6:X37" ca="1" si="3">IF(AND(C6="Smelter not listed",OR(LEN(D6)=0,LEN(E6)=0)),1,0)</f>
        <v>0</v>
      </c>
      <c r="AB6" s="228" t="str">
        <f t="shared" ref="AB6:AB37" si="4">B6&amp;C6</f>
        <v>TinMinsur</v>
      </c>
    </row>
    <row r="7" spans="1:34" s="227" customFormat="1" ht="20.100000000000001" customHeight="1">
      <c r="A7" s="262"/>
      <c r="B7" s="182" t="s">
        <v>1120</v>
      </c>
      <c r="C7" s="186" t="s">
        <v>12910</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480</v>
      </c>
      <c r="X7" s="227">
        <f t="shared" ca="1" si="3"/>
        <v>0</v>
      </c>
      <c r="AB7" s="228" t="str">
        <f t="shared" si="4"/>
        <v>TinMetallo Belgium N.V.</v>
      </c>
    </row>
    <row r="8" spans="1:34" s="227" customFormat="1" ht="20.100000000000001" customHeight="1">
      <c r="A8" s="262"/>
      <c r="B8" s="182" t="s">
        <v>1120</v>
      </c>
      <c r="C8" s="186" t="s">
        <v>805</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ca="1" si="3"/>
        <v>0</v>
      </c>
      <c r="AB8" s="228" t="str">
        <f t="shared" si="4"/>
        <v>TinFenix Metals</v>
      </c>
    </row>
    <row r="9" spans="1:34" s="227" customFormat="1" ht="20.100000000000001" customHeight="1">
      <c r="A9" s="262"/>
      <c r="B9" s="182" t="s">
        <v>1120</v>
      </c>
      <c r="C9" s="186" t="s">
        <v>15496</v>
      </c>
      <c r="D9" s="230"/>
      <c r="E9" s="182" t="str">
        <f ca="1">IF(ISERROR($V9),"",OFFSET('Smelter Look-up'!$D$4,$V9-4,0)&amp;"")</f>
        <v>BELGIUM</v>
      </c>
      <c r="F9" s="182" t="str">
        <f ca="1">IF(ISERROR($V9),"",OFFSET('Smelter Look-up'!$E$4,$V9-4,0))</f>
        <v>CID002773</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405</v>
      </c>
      <c r="X9" s="227">
        <f t="shared" ca="1" si="3"/>
        <v>0</v>
      </c>
      <c r="AB9" s="228" t="str">
        <f t="shared" si="4"/>
        <v>TinAurubis Beerse</v>
      </c>
    </row>
    <row r="10" spans="1:34" s="227" customFormat="1" ht="20.100000000000001" customHeight="1">
      <c r="A10" s="262"/>
      <c r="B10" s="182" t="s">
        <v>1120</v>
      </c>
      <c r="C10" s="186" t="s">
        <v>13779</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ca="1" si="3"/>
        <v>0</v>
      </c>
      <c r="AB10" s="228" t="str">
        <f t="shared" si="4"/>
        <v>TinPT Timah Tbk Kundur</v>
      </c>
    </row>
    <row r="11" spans="1:34" s="227" customFormat="1" ht="20.100000000000001" customHeight="1">
      <c r="A11" s="262"/>
      <c r="B11" s="182" t="s">
        <v>1120</v>
      </c>
      <c r="C11" s="186" t="s">
        <v>13778</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ca="1" si="3"/>
        <v>0</v>
      </c>
      <c r="AB11" s="228" t="str">
        <f t="shared" si="4"/>
        <v>TinPT Timah Tbk Mentok</v>
      </c>
    </row>
    <row r="12" spans="1:34" s="227" customFormat="1" ht="20.100000000000001" customHeight="1">
      <c r="A12" s="262"/>
      <c r="B12" s="182" t="s">
        <v>1120</v>
      </c>
      <c r="C12" s="186" t="s">
        <v>2141</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Refined Bangka Tin</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526</v>
      </c>
      <c r="X12" s="227">
        <f t="shared" ca="1" si="3"/>
        <v>0</v>
      </c>
      <c r="AB12" s="228" t="str">
        <f t="shared" si="4"/>
        <v>TinPT Refined Bangka Tin</v>
      </c>
    </row>
    <row r="13" spans="1:34" s="227" customFormat="1" ht="20.100000000000001" customHeight="1">
      <c r="A13" s="262"/>
      <c r="B13" s="182" t="s">
        <v>1120</v>
      </c>
      <c r="C13" s="186" t="s">
        <v>15081</v>
      </c>
      <c r="D13" s="230"/>
      <c r="E13" s="182" t="str">
        <f ca="1">IF(ISERROR($V13),"",OFFSET('Smelter Look-up'!$D$4,$V13-4,0)&amp;"")</f>
        <v>INDONESIA</v>
      </c>
      <c r="F13" s="182" t="str">
        <f ca="1">IF(ISERROR($V13),"",OFFSET('Smelter Look-up'!$E$4,$V13-4,0))</f>
        <v>CID003381</v>
      </c>
      <c r="G13" s="182" t="str">
        <f ca="1">IF(C13=$X$4,IF(ISERROR($V13),"Enter smelter details","RMI"),IF(ISERROR($V13),"",OFFSET('Smelter Look-up'!$F$4,$V13-4,0)))</f>
        <v>RMI</v>
      </c>
      <c r="H13" s="183">
        <f ca="1">IF(ISERROR($V13),"",OFFSET('Smelter Look-up'!$G$4,$V13-4,0))</f>
        <v>0</v>
      </c>
      <c r="I13" s="184" t="str">
        <f ca="1">IF(ISERROR($V13),"",OFFSET('Smelter Look-up'!$H$4,$V13-4,0))</f>
        <v>Tukak Sadai</v>
      </c>
      <c r="J13" s="184" t="str">
        <f ca="1">IF(ISERROR($V13),"",OFFSET('Smelter Look-up'!$I$4,$V13-4,0))</f>
        <v>Kepulauan Bangka Belitung</v>
      </c>
      <c r="K13" s="224"/>
      <c r="L13" s="224"/>
      <c r="M13" s="224"/>
      <c r="N13" s="224"/>
      <c r="O13" s="224"/>
      <c r="P13" s="185"/>
      <c r="Q13" s="225"/>
      <c r="R13" s="182" t="str">
        <f ca="1">IF(ISERROR($V13),"",OFFSET('Smelter Look-up'!$C$4,$V13-4,0)&amp;"")</f>
        <v>PT Rajawali Rimba Perkasa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524</v>
      </c>
      <c r="X13" s="227">
        <f t="shared" ca="1" si="3"/>
        <v>0</v>
      </c>
      <c r="AB13" s="228" t="str">
        <f t="shared" si="4"/>
        <v>TinPT Rajawali Rimba Perkasa</v>
      </c>
    </row>
    <row r="14" spans="1:34" s="227" customFormat="1" ht="20.100000000000001" customHeight="1">
      <c r="A14" s="262"/>
      <c r="B14" s="182" t="s">
        <v>1120</v>
      </c>
      <c r="C14" s="186" t="s">
        <v>12914</v>
      </c>
      <c r="D14" s="230"/>
      <c r="E14" s="182" t="str">
        <f ca="1">IF(ISERROR($V14),"",OFFSET('Smelter Look-up'!$D$4,$V14-4,0)&amp;"")</f>
        <v>INDONESIA</v>
      </c>
      <c r="F14" s="182" t="str">
        <f ca="1">IF(ISERROR($V14),"",OFFSET('Smelter Look-up'!$E$4,$V14-4,0))</f>
        <v>CID003205</v>
      </c>
      <c r="G14" s="182" t="str">
        <f ca="1">IF(C14=$X$4,IF(ISERROR($V14),"Enter smelter details","RMI"),IF(ISERROR($V14),"",OFFSET('Smelter Look-up'!$F$4,$V14-4,0)))</f>
        <v>RMI</v>
      </c>
      <c r="H14" s="183">
        <f ca="1">IF(ISERROR($V14),"",OFFSET('Smelter Look-up'!$G$4,$V14-4,0))</f>
        <v>0</v>
      </c>
      <c r="I14" s="184" t="str">
        <f ca="1">IF(ISERROR($V14),"",OFFSET('Smelter Look-up'!$H$4,$V14-4,0))</f>
        <v>Pangkalpinang</v>
      </c>
      <c r="J14" s="184" t="str">
        <f ca="1">IF(ISERROR($V14),"",OFFSET('Smelter Look-up'!$I$4,$V14-4,0))</f>
        <v>Kepulauan Bangka Belitung</v>
      </c>
      <c r="K14" s="224"/>
      <c r="L14" s="224"/>
      <c r="M14" s="224"/>
      <c r="N14" s="224"/>
      <c r="O14" s="224"/>
      <c r="P14" s="185"/>
      <c r="Q14" s="225"/>
      <c r="R14" s="182" t="str">
        <f ca="1">IF(ISERROR($V14),"",OFFSET('Smelter Look-up'!$C$4,$V14-4,0)&amp;"")</f>
        <v>PT Bangka Serumpun</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509</v>
      </c>
      <c r="X14" s="227">
        <f t="shared" ca="1" si="3"/>
        <v>0</v>
      </c>
      <c r="AB14" s="228" t="str">
        <f t="shared" si="4"/>
        <v>TinPT Bangka Serumpun</v>
      </c>
    </row>
    <row r="15" spans="1:34" s="227" customFormat="1" ht="20.100000000000001" customHeight="1">
      <c r="A15" s="262"/>
      <c r="B15" s="182" t="s">
        <v>1120</v>
      </c>
      <c r="C15" s="186" t="s">
        <v>15075</v>
      </c>
      <c r="D15" s="230"/>
      <c r="E15" s="182" t="str">
        <f ca="1">IF(ISERROR($V15),"",OFFSET('Smelter Look-up'!$D$4,$V15-4,0)&amp;"")</f>
        <v>INDONESIA</v>
      </c>
      <c r="F15" s="182" t="str">
        <f ca="1">IF(ISERROR($V15),"",OFFSET('Smelter Look-up'!$E$4,$V15-4,0))</f>
        <v>CID001406</v>
      </c>
      <c r="G15" s="182" t="str">
        <f ca="1">IF(C15=$X$4,IF(ISERROR($V15),"Enter smelter details","RMI"),IF(ISERROR($V15),"",OFFSET('Smelter Look-up'!$F$4,$V15-4,0)))</f>
        <v>RMI</v>
      </c>
      <c r="H15" s="183">
        <f ca="1">IF(ISERROR($V15),"",OFFSET('Smelter Look-up'!$G$4,$V15-4,0))</f>
        <v>0</v>
      </c>
      <c r="I15" s="184" t="str">
        <f ca="1">IF(ISERROR($V15),"",OFFSET('Smelter Look-up'!$H$4,$V15-4,0))</f>
        <v>Badau</v>
      </c>
      <c r="J15" s="184" t="str">
        <f ca="1">IF(ISERROR($V15),"",OFFSET('Smelter Look-up'!$I$4,$V15-4,0))</f>
        <v>Kepulauan Bangka Belitung</v>
      </c>
      <c r="K15" s="224"/>
      <c r="L15" s="224"/>
      <c r="M15" s="224"/>
      <c r="N15" s="224"/>
      <c r="O15" s="224"/>
      <c r="P15" s="185"/>
      <c r="Q15" s="225"/>
      <c r="R15" s="182" t="str">
        <f ca="1">IF(ISERROR($V15),"",OFFSET('Smelter Look-up'!$C$4,$V15-4,0)&amp;"")</f>
        <v>PT Babel Surya Alam Lestari</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507</v>
      </c>
      <c r="X15" s="227">
        <f t="shared" ca="1" si="3"/>
        <v>0</v>
      </c>
      <c r="AB15" s="228" t="str">
        <f t="shared" si="4"/>
        <v>TinPT Babel Surya Alam Lestari</v>
      </c>
    </row>
    <row r="16" spans="1:34" s="227" customFormat="1" ht="20.100000000000001" customHeight="1">
      <c r="A16" s="262"/>
      <c r="B16" s="182" t="s">
        <v>1120</v>
      </c>
      <c r="C16" s="186" t="s">
        <v>1391</v>
      </c>
      <c r="D16" s="230"/>
      <c r="E16" s="182" t="str">
        <f ca="1">IF(ISERROR($V16),"",OFFSET('Smelter Look-up'!$D$4,$V16-4,0)&amp;"")</f>
        <v>INDONESIA</v>
      </c>
      <c r="F16" s="182" t="str">
        <f ca="1">IF(ISERROR($V16),"",OFFSET('Smelter Look-up'!$E$4,$V16-4,0))</f>
        <v>CID002503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ATD Makmur Mandiri Jaya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505</v>
      </c>
      <c r="X16" s="227">
        <f t="shared" ca="1" si="3"/>
        <v>0</v>
      </c>
      <c r="AB16" s="228" t="str">
        <f t="shared" si="4"/>
        <v>TinPT ATD Makmur Mandiri Jaya</v>
      </c>
    </row>
    <row r="17" spans="1:28" s="227" customFormat="1" ht="20.100000000000001" customHeight="1">
      <c r="A17" s="262"/>
      <c r="B17" s="182" t="s">
        <v>1120</v>
      </c>
      <c r="C17" s="186" t="s">
        <v>834</v>
      </c>
      <c r="D17" s="230"/>
      <c r="E17" s="182" t="str">
        <f ca="1">IF(ISERROR($V17),"",OFFSET('Smelter Look-up'!$D$4,$V17-4,0)&amp;"")</f>
        <v>INDONESIA</v>
      </c>
      <c r="F17" s="182" t="str">
        <f ca="1">IF(ISERROR($V17),"",OFFSET('Smelter Look-up'!$E$4,$V17-4,0))</f>
        <v>CID001399</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Artha Cipta Langgeng</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504</v>
      </c>
      <c r="X17" s="227">
        <f t="shared" ca="1" si="3"/>
        <v>0</v>
      </c>
      <c r="AB17" s="228" t="str">
        <f t="shared" si="4"/>
        <v>TinPT Artha Cipta Langgeng</v>
      </c>
    </row>
    <row r="18" spans="1:28" s="227" customFormat="1" ht="20.100000000000001" customHeight="1">
      <c r="A18" s="181"/>
      <c r="B18" s="182" t="s">
        <v>1120</v>
      </c>
      <c r="C18" s="186" t="s">
        <v>48</v>
      </c>
      <c r="D18" s="230"/>
      <c r="E18" s="182" t="str">
        <f ca="1">IF(ISERROR($V18),"",OFFSET('Smelter Look-up'!$D$4,$V18-4,0)&amp;"")</f>
        <v>BRAZIL</v>
      </c>
      <c r="F18" s="182" t="str">
        <f ca="1">IF(ISERROR($V18),"",OFFSET('Smelter Look-up'!$E$4,$V18-4,0))</f>
        <v>CID002036</v>
      </c>
      <c r="G18" s="182" t="str">
        <f ca="1">IF(C18=$X$4,IF(ISERROR($V18),"Enter smelter details","RMI"),IF(ISERROR($V18),"",OFFSET('Smelter Look-up'!$F$4,$V18-4,0)))</f>
        <v>RMI</v>
      </c>
      <c r="H18" s="183">
        <f ca="1">IF(ISERROR($V18),"",OFFSET('Smelter Look-up'!$G$4,$V18-4,0))</f>
        <v>0</v>
      </c>
      <c r="I18" s="184" t="str">
        <f ca="1">IF(ISERROR($V18),"",OFFSET('Smelter Look-up'!$H$4,$V18-4,0))</f>
        <v>Ariquemes</v>
      </c>
      <c r="J18" s="184" t="str">
        <f ca="1">IF(ISERROR($V18),"",OFFSET('Smelter Look-up'!$I$4,$V18-4,0))</f>
        <v>Rondônia</v>
      </c>
      <c r="K18" s="224"/>
      <c r="L18" s="224"/>
      <c r="M18" s="224"/>
      <c r="N18" s="224"/>
      <c r="O18" s="224"/>
      <c r="P18" s="185"/>
      <c r="Q18" s="225"/>
      <c r="R18" s="182" t="str">
        <f ca="1">IF(ISERROR($V18),"",OFFSET('Smelter Look-up'!$C$4,$V18-4,0)&amp;"")</f>
        <v>White Solder Metalurgia e Mineracao Ltda.</v>
      </c>
      <c r="S18" s="181" t="str">
        <f t="shared" ca="1" si="2"/>
        <v>BR</v>
      </c>
      <c r="T18" s="181" t="str">
        <f ca="1">IF(B18="","",IF(ISERROR(MATCH($J18,SorP!$B$1:$B$6226,0)),"",INDIRECT("'SorP'!$A$"&amp;MATCH($S18&amp;$J18,SorP!C:C,0))))</f>
        <v>BR-RO</v>
      </c>
      <c r="U18" s="201"/>
      <c r="V18" s="226">
        <f>IF(C18="",NA(),IF(OR(C18="Smelter not listed",C18="Smelter not yet identified"),MATCH($B18&amp;$D18,'Smelter Look-up'!$J:$J,0),MATCH($B18&amp;$C18,'Smelter Look-up'!$J:$J,0)))</f>
        <v>557</v>
      </c>
      <c r="X18" s="227">
        <f t="shared" ca="1" si="3"/>
        <v>0</v>
      </c>
      <c r="AB18" s="228" t="str">
        <f t="shared" si="4"/>
        <v>TinWhite Solder Metalurgia e Mineração Ltda.</v>
      </c>
    </row>
    <row r="19" spans="1:28" s="227" customFormat="1" ht="63.75">
      <c r="A19" s="181"/>
      <c r="B19" s="182" t="s">
        <v>1120</v>
      </c>
      <c r="C19" s="186" t="s">
        <v>13780</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499</v>
      </c>
      <c r="X19" s="227">
        <f t="shared" ca="1" si="3"/>
        <v>0</v>
      </c>
      <c r="AB19" s="228" t="str">
        <f t="shared" si="4"/>
        <v>TinOperaciones Metalurgicas S.A.</v>
      </c>
    </row>
    <row r="20" spans="1:28" s="227" customFormat="1" ht="51">
      <c r="A20" s="181"/>
      <c r="B20" s="182" t="s">
        <v>1120</v>
      </c>
      <c r="C20" s="186" t="s">
        <v>12408</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2"/>
        <v>BR</v>
      </c>
      <c r="T20" s="181" t="str">
        <f ca="1">IF(B20="","",IF(ISERROR(MATCH($J20,SorP!$B$1:$B$6226,0)),"",INDIRECT("'SorP'!$A$"&amp;MATCH($S20&amp;$J20,SorP!C:C,0))))</f>
        <v>BR-SP</v>
      </c>
      <c r="U20" s="201"/>
      <c r="V20" s="226">
        <f>IF(C20="",NA(),IF(OR(C20="Smelter not listed",C20="Smelter not yet identified"),MATCH($B20&amp;$D20,'Smelter Look-up'!$J:$J,0),MATCH($B20&amp;$C20,'Smelter Look-up'!$J:$J,0)))</f>
        <v>482</v>
      </c>
      <c r="X20" s="227">
        <f t="shared" ca="1" si="3"/>
        <v>0</v>
      </c>
      <c r="AB20" s="228" t="str">
        <f t="shared" si="4"/>
        <v>TinMineracao Taboca S.A.</v>
      </c>
    </row>
    <row r="21" spans="1:28" s="227" customFormat="1" ht="38.25">
      <c r="A21" s="181"/>
      <c r="B21" s="182" t="s">
        <v>1120</v>
      </c>
      <c r="C21" s="186" t="s">
        <v>13826</v>
      </c>
      <c r="D21" s="230"/>
      <c r="E21" s="182" t="str">
        <f ca="1">IF(ISERROR($V21),"",OFFSET('Smelter Look-up'!$D$4,$V21-4,0)&amp;"")</f>
        <v>RWANDA</v>
      </c>
      <c r="F21" s="182" t="str">
        <f ca="1">IF(ISERROR($V21),"",OFFSET('Smelter Look-up'!$E$4,$V21-4,0))</f>
        <v>CID003387</v>
      </c>
      <c r="G21" s="182" t="str">
        <f ca="1">IF(C21=$X$4,IF(ISERROR($V21),"Enter smelter details","RMI"),IF(ISERROR($V21),"",OFFSET('Smelter Look-up'!$F$4,$V21-4,0)))</f>
        <v>RMI</v>
      </c>
      <c r="H21" s="183">
        <f ca="1">IF(ISERROR($V21),"",OFFSET('Smelter Look-up'!$G$4,$V21-4,0))</f>
        <v>0</v>
      </c>
      <c r="I21" s="184" t="str">
        <f ca="1">IF(ISERROR($V21),"",OFFSET('Smelter Look-up'!$H$4,$V21-4,0))</f>
        <v>Kigali</v>
      </c>
      <c r="J21" s="184" t="str">
        <f ca="1">IF(ISERROR($V21),"",OFFSET('Smelter Look-up'!$I$4,$V21-4,0))</f>
        <v>City of Kigali</v>
      </c>
      <c r="K21" s="224"/>
      <c r="L21" s="224"/>
      <c r="M21" s="224"/>
      <c r="N21" s="224"/>
      <c r="O21" s="224"/>
      <c r="P21" s="185"/>
      <c r="Q21" s="225"/>
      <c r="R21" s="182" t="str">
        <f ca="1">IF(ISERROR($V21),"",OFFSET('Smelter Look-up'!$C$4,$V21-4,0)&amp;"")</f>
        <v>Luna Smelter, Ltd.</v>
      </c>
      <c r="S21" s="181" t="str">
        <f t="shared" ca="1" si="2"/>
        <v>RW</v>
      </c>
      <c r="T21" s="181" t="str">
        <f ca="1">IF(B21="","",IF(ISERROR(MATCH($J21,SorP!$B$1:$B$6226,0)),"",INDIRECT("'SorP'!$A$"&amp;MATCH($S21&amp;$J21,SorP!C:C,0))))</f>
        <v>RW-01</v>
      </c>
      <c r="U21" s="201"/>
      <c r="V21" s="226">
        <f>IF(C21="",NA(),IF(OR(C21="Smelter not listed",C21="Smelter not yet identified"),MATCH($B21&amp;$D21,'Smelter Look-up'!$J:$J,0),MATCH($B21&amp;$C21,'Smelter Look-up'!$J:$J,0)))</f>
        <v>471</v>
      </c>
      <c r="X21" s="227">
        <f t="shared" ca="1" si="3"/>
        <v>0</v>
      </c>
      <c r="AB21" s="228" t="str">
        <f t="shared" si="4"/>
        <v>TinLuna Smelter, Ltd.</v>
      </c>
    </row>
    <row r="22" spans="1:28" s="227" customFormat="1" ht="25.5">
      <c r="A22" s="181"/>
      <c r="B22" s="182"/>
      <c r="C22" s="186"/>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c r="C23" s="186"/>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71FE645-7A9E-4406-9689-62E65472D39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6: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Um sicherzustellen, dass alle erforderlichen Felder vor dem Versand an ihren Kunden ausgefüllt sind, alle rot markierten Felder beachten.</v>
      </c>
      <c r="B1" s="393"/>
      <c r="C1" s="393"/>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EPN ELECTROPRINT GmbH</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 Kahl</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markus.kahl@epn.de</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0049364815932</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Ralf Müller</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ralf.mueller@epn.de</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45418</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797</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797</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1295</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796</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1291</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797</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www.epn.de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F5" sqref="F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Markus MK. Kahl</cp:lastModifiedBy>
  <cp:lastPrinted>2015-04-21T20:47:43Z</cp:lastPrinted>
  <dcterms:created xsi:type="dcterms:W3CDTF">2010-06-21T21:00:23Z</dcterms:created>
  <dcterms:modified xsi:type="dcterms:W3CDTF">2024-05-14T07:55:26Z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